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8_2022_REV.1\"/>
    </mc:Choice>
  </mc:AlternateContent>
  <xr:revisionPtr revIDLastSave="0" documentId="13_ncr:1_{E4BE676B-AEAA-44C8-94A1-D80F3A92B8E9}" xr6:coauthVersionLast="47" xr6:coauthVersionMax="47" xr10:uidLastSave="{00000000-0000-0000-0000-000000000000}"/>
  <bookViews>
    <workbookView xWindow="-120" yWindow="-120" windowWidth="29040" windowHeight="15720" tabRatio="595" xr2:uid="{00000000-000D-0000-FFFF-FFFF00000000}"/>
  </bookViews>
  <sheets>
    <sheet name="Внешняя торговля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Q23" i="1" l="1"/>
  <c r="KP23" i="1"/>
  <c r="KQ22" i="1"/>
  <c r="KP22" i="1"/>
  <c r="KQ21" i="1"/>
  <c r="KP21" i="1"/>
  <c r="KQ19" i="1"/>
  <c r="KP19" i="1"/>
  <c r="KQ17" i="1"/>
  <c r="KQ16" i="1"/>
  <c r="KQ15" i="1"/>
  <c r="KQ13" i="1"/>
  <c r="KQ11" i="1"/>
  <c r="KQ10" i="1"/>
  <c r="KQ9" i="1"/>
  <c r="KQ7" i="1"/>
  <c r="KN23" i="1"/>
  <c r="KN22" i="1"/>
  <c r="KN21" i="1"/>
  <c r="KO19" i="1"/>
  <c r="KN19" i="1"/>
  <c r="KO17" i="1"/>
  <c r="KO16" i="1"/>
  <c r="KO15" i="1"/>
  <c r="KO13" i="1"/>
  <c r="KO11" i="1"/>
  <c r="KO10" i="1"/>
  <c r="KO9" i="1"/>
  <c r="KO7" i="1"/>
  <c r="KM23" i="1"/>
  <c r="KL23" i="1"/>
  <c r="KM22" i="1"/>
  <c r="KL22" i="1"/>
  <c r="KM21" i="1"/>
  <c r="KL21" i="1"/>
  <c r="KM19" i="1"/>
  <c r="KL19" i="1"/>
  <c r="KM17" i="1"/>
  <c r="KM16" i="1"/>
  <c r="KM15" i="1"/>
  <c r="KM13" i="1"/>
  <c r="KM11" i="1"/>
  <c r="KM10" i="1"/>
  <c r="KM9" i="1"/>
  <c r="KM7" i="1"/>
  <c r="KA23" i="1"/>
  <c r="KA22" i="1"/>
  <c r="KA21" i="1"/>
  <c r="KA19" i="1"/>
  <c r="KA17" i="1"/>
  <c r="KA16" i="1"/>
  <c r="KA15" i="1"/>
  <c r="KA13" i="1"/>
  <c r="JW23" i="1"/>
  <c r="JW22" i="1"/>
  <c r="JW21" i="1"/>
  <c r="JW19" i="1"/>
  <c r="JW17" i="1"/>
  <c r="JW16" i="1"/>
  <c r="JW15" i="1"/>
  <c r="JW13" i="1"/>
  <c r="KK23" i="1"/>
  <c r="KJ23" i="1"/>
  <c r="KI23" i="1"/>
  <c r="KG23" i="1"/>
  <c r="KE23" i="1"/>
  <c r="KC23" i="1"/>
  <c r="KK22" i="1"/>
  <c r="KJ22" i="1"/>
  <c r="KI22" i="1"/>
  <c r="KG22" i="1"/>
  <c r="KE22" i="1"/>
  <c r="KC22" i="1"/>
  <c r="KK21" i="1"/>
  <c r="KJ21" i="1"/>
  <c r="KI21" i="1"/>
  <c r="KG21" i="1"/>
  <c r="KE21" i="1"/>
  <c r="KC21" i="1"/>
  <c r="KK19" i="1"/>
  <c r="KJ19" i="1"/>
  <c r="KI19" i="1"/>
  <c r="KG19" i="1"/>
  <c r="KE19" i="1"/>
  <c r="KC19" i="1"/>
  <c r="KK17" i="1"/>
  <c r="KI17" i="1"/>
  <c r="KG17" i="1"/>
  <c r="KE17" i="1"/>
  <c r="KC17" i="1"/>
  <c r="KK16" i="1"/>
  <c r="KI16" i="1"/>
  <c r="KG16" i="1"/>
  <c r="KE16" i="1"/>
  <c r="KC16" i="1"/>
  <c r="KK15" i="1"/>
  <c r="KI15" i="1"/>
  <c r="KG15" i="1"/>
  <c r="KE15" i="1"/>
  <c r="KC15" i="1"/>
  <c r="KK13" i="1"/>
  <c r="KI13" i="1"/>
  <c r="KG13" i="1"/>
  <c r="KE13" i="1"/>
  <c r="KC13" i="1"/>
  <c r="KK11" i="1"/>
  <c r="KI11" i="1"/>
  <c r="KG11" i="1"/>
  <c r="KE11" i="1"/>
  <c r="KC11" i="1"/>
  <c r="KK10" i="1"/>
  <c r="KI10" i="1"/>
  <c r="KG10" i="1"/>
  <c r="KE10" i="1"/>
  <c r="KC10" i="1"/>
  <c r="KK9" i="1"/>
  <c r="KI9" i="1"/>
  <c r="KG9" i="1"/>
  <c r="KE9" i="1"/>
  <c r="KC9" i="1"/>
  <c r="KK7" i="1"/>
  <c r="KI7" i="1"/>
  <c r="KG7" i="1"/>
  <c r="KE7" i="1"/>
  <c r="KC7" i="1"/>
  <c r="JY23" i="1"/>
  <c r="JX23" i="1"/>
  <c r="JU23" i="1"/>
  <c r="JS23" i="1"/>
  <c r="JQ23" i="1"/>
  <c r="JO23" i="1"/>
  <c r="JM23" i="1"/>
  <c r="JK23" i="1"/>
  <c r="JI23" i="1"/>
  <c r="JG23" i="1"/>
  <c r="JE23" i="1"/>
  <c r="JC23" i="1"/>
  <c r="JY22" i="1"/>
  <c r="JX22" i="1"/>
  <c r="JU22" i="1"/>
  <c r="JS22" i="1"/>
  <c r="JQ22" i="1"/>
  <c r="JO22" i="1"/>
  <c r="JM22" i="1"/>
  <c r="JK22" i="1"/>
  <c r="JI22" i="1"/>
  <c r="JG22" i="1"/>
  <c r="JE22" i="1"/>
  <c r="JC22" i="1"/>
  <c r="JY21" i="1"/>
  <c r="JX21" i="1"/>
  <c r="JU21" i="1"/>
  <c r="JS21" i="1"/>
  <c r="JQ21" i="1"/>
  <c r="JO21" i="1"/>
  <c r="JM21" i="1"/>
  <c r="JK21" i="1"/>
  <c r="JI21" i="1"/>
  <c r="JG21" i="1"/>
  <c r="JE21" i="1"/>
  <c r="JC21" i="1"/>
  <c r="JY19" i="1"/>
  <c r="JX19" i="1"/>
  <c r="JU19" i="1"/>
  <c r="JS19" i="1"/>
  <c r="JQ19" i="1"/>
  <c r="JO19" i="1"/>
  <c r="JM19" i="1"/>
  <c r="JK19" i="1"/>
  <c r="JI19" i="1"/>
  <c r="JG19" i="1"/>
  <c r="JE19" i="1"/>
  <c r="JC19" i="1"/>
  <c r="JY17" i="1"/>
  <c r="JU17" i="1"/>
  <c r="JS17" i="1"/>
  <c r="JQ17" i="1"/>
  <c r="JO17" i="1"/>
  <c r="JM17" i="1"/>
  <c r="JK17" i="1"/>
  <c r="JI17" i="1"/>
  <c r="JG17" i="1"/>
  <c r="JE17" i="1"/>
  <c r="JC17" i="1"/>
  <c r="JY16" i="1"/>
  <c r="JU16" i="1"/>
  <c r="JS16" i="1"/>
  <c r="JQ16" i="1"/>
  <c r="JO16" i="1"/>
  <c r="JM16" i="1"/>
  <c r="JK16" i="1"/>
  <c r="JI16" i="1"/>
  <c r="JG16" i="1"/>
  <c r="JE16" i="1"/>
  <c r="JC16" i="1"/>
  <c r="JY15" i="1"/>
  <c r="JU15" i="1"/>
  <c r="JS15" i="1"/>
  <c r="JQ15" i="1"/>
  <c r="JO15" i="1"/>
  <c r="JM15" i="1"/>
  <c r="JK15" i="1"/>
  <c r="JI15" i="1"/>
  <c r="JG15" i="1"/>
  <c r="JE15" i="1"/>
  <c r="JC15" i="1"/>
  <c r="JY13" i="1"/>
  <c r="JU13" i="1"/>
  <c r="JS13" i="1"/>
  <c r="JQ13" i="1"/>
  <c r="JO13" i="1"/>
  <c r="JM13" i="1"/>
  <c r="JK13" i="1"/>
  <c r="JI13" i="1"/>
  <c r="JG13" i="1"/>
  <c r="JE13" i="1"/>
  <c r="JC13" i="1"/>
  <c r="KA11" i="1"/>
  <c r="JY11" i="1"/>
  <c r="JW11" i="1"/>
  <c r="JU11" i="1"/>
  <c r="JS11" i="1"/>
  <c r="JQ11" i="1"/>
  <c r="JO11" i="1"/>
  <c r="JM11" i="1"/>
  <c r="JK11" i="1"/>
  <c r="JI11" i="1"/>
  <c r="JG11" i="1"/>
  <c r="JE11" i="1"/>
  <c r="JC11" i="1"/>
  <c r="KA10" i="1"/>
  <c r="JY10" i="1"/>
  <c r="JW10" i="1"/>
  <c r="JU10" i="1"/>
  <c r="JS10" i="1"/>
  <c r="JQ10" i="1"/>
  <c r="JO10" i="1"/>
  <c r="JM10" i="1"/>
  <c r="JK10" i="1"/>
  <c r="JI10" i="1"/>
  <c r="JG10" i="1"/>
  <c r="JE10" i="1"/>
  <c r="JC10" i="1"/>
  <c r="KA9" i="1"/>
  <c r="JY9" i="1"/>
  <c r="JW9" i="1"/>
  <c r="JU9" i="1"/>
  <c r="JS9" i="1"/>
  <c r="JQ9" i="1"/>
  <c r="JO9" i="1"/>
  <c r="JM9" i="1"/>
  <c r="JK9" i="1"/>
  <c r="JI9" i="1"/>
  <c r="JG9" i="1"/>
  <c r="JE9" i="1"/>
  <c r="JC9" i="1"/>
  <c r="KA7" i="1"/>
  <c r="JY7" i="1"/>
  <c r="JW7" i="1"/>
  <c r="JU7" i="1"/>
  <c r="JS7" i="1"/>
  <c r="JQ7" i="1"/>
  <c r="JO7" i="1"/>
  <c r="JM7" i="1"/>
  <c r="JK7" i="1"/>
  <c r="JI7" i="1"/>
  <c r="JG7" i="1"/>
  <c r="JE7" i="1"/>
  <c r="JC7" i="1"/>
  <c r="IO23" i="1" l="1"/>
  <c r="IO22" i="1"/>
  <c r="IO21" i="1"/>
  <c r="IO19" i="1"/>
  <c r="IO17" i="1"/>
  <c r="IO16" i="1"/>
  <c r="IO15" i="1"/>
  <c r="IO13" i="1"/>
  <c r="IO11" i="1"/>
  <c r="IO10" i="1"/>
  <c r="IO9" i="1"/>
  <c r="IO7" i="1"/>
  <c r="JA23" i="1" l="1"/>
  <c r="JA22" i="1"/>
  <c r="JA21" i="1"/>
  <c r="JA19" i="1"/>
  <c r="JA17" i="1"/>
  <c r="JA16" i="1"/>
  <c r="JA15" i="1"/>
  <c r="JA13" i="1"/>
  <c r="JA11" i="1"/>
  <c r="JA10" i="1"/>
  <c r="JA9" i="1"/>
  <c r="JA7" i="1"/>
  <c r="IY23" i="1" l="1"/>
  <c r="IW23" i="1"/>
  <c r="IU23" i="1"/>
  <c r="IS23" i="1"/>
  <c r="IQ23" i="1"/>
  <c r="IM23" i="1"/>
  <c r="IK23" i="1"/>
  <c r="II23" i="1"/>
  <c r="IG23" i="1"/>
  <c r="IE23" i="1"/>
  <c r="IC23" i="1"/>
  <c r="IY22" i="1"/>
  <c r="IW22" i="1"/>
  <c r="IU22" i="1"/>
  <c r="IS22" i="1"/>
  <c r="IQ22" i="1"/>
  <c r="IM22" i="1"/>
  <c r="IK22" i="1"/>
  <c r="II22" i="1"/>
  <c r="IG22" i="1"/>
  <c r="IE22" i="1"/>
  <c r="IC22" i="1"/>
  <c r="IY21" i="1"/>
  <c r="IW21" i="1"/>
  <c r="IU21" i="1"/>
  <c r="IS21" i="1"/>
  <c r="IQ21" i="1"/>
  <c r="IM21" i="1"/>
  <c r="IK21" i="1"/>
  <c r="II21" i="1"/>
  <c r="IG21" i="1"/>
  <c r="IE21" i="1"/>
  <c r="IC21" i="1"/>
  <c r="IY19" i="1"/>
  <c r="IW19" i="1"/>
  <c r="IU19" i="1"/>
  <c r="IS19" i="1"/>
  <c r="IQ19" i="1"/>
  <c r="IM19" i="1"/>
  <c r="IK19" i="1"/>
  <c r="II19" i="1"/>
  <c r="IG19" i="1"/>
  <c r="IE19" i="1"/>
  <c r="IC19" i="1"/>
  <c r="IY17" i="1"/>
  <c r="IW17" i="1"/>
  <c r="IU17" i="1"/>
  <c r="IS17" i="1"/>
  <c r="IQ17" i="1"/>
  <c r="IM17" i="1"/>
  <c r="IK17" i="1"/>
  <c r="II17" i="1"/>
  <c r="IG17" i="1"/>
  <c r="IE17" i="1"/>
  <c r="IC17" i="1"/>
  <c r="IY16" i="1"/>
  <c r="IW16" i="1"/>
  <c r="IU16" i="1"/>
  <c r="IS16" i="1"/>
  <c r="IQ16" i="1"/>
  <c r="IM16" i="1"/>
  <c r="IK16" i="1"/>
  <c r="II16" i="1"/>
  <c r="IG16" i="1"/>
  <c r="IE16" i="1"/>
  <c r="IC16" i="1"/>
  <c r="IY15" i="1"/>
  <c r="IW15" i="1"/>
  <c r="IU15" i="1"/>
  <c r="IS15" i="1"/>
  <c r="IQ15" i="1"/>
  <c r="IM15" i="1"/>
  <c r="IK15" i="1"/>
  <c r="II15" i="1"/>
  <c r="IG15" i="1"/>
  <c r="IE15" i="1"/>
  <c r="IC15" i="1"/>
  <c r="IY13" i="1"/>
  <c r="IW13" i="1"/>
  <c r="IU13" i="1"/>
  <c r="IS13" i="1"/>
  <c r="IQ13" i="1"/>
  <c r="IM13" i="1"/>
  <c r="IK13" i="1"/>
  <c r="II13" i="1"/>
  <c r="IG13" i="1"/>
  <c r="IE13" i="1"/>
  <c r="IC13" i="1"/>
  <c r="IY11" i="1"/>
  <c r="IW11" i="1"/>
  <c r="IU11" i="1"/>
  <c r="IS11" i="1"/>
  <c r="IQ11" i="1"/>
  <c r="IM11" i="1"/>
  <c r="IK11" i="1"/>
  <c r="II11" i="1"/>
  <c r="IG11" i="1"/>
  <c r="IE11" i="1"/>
  <c r="IC11" i="1"/>
  <c r="IY10" i="1"/>
  <c r="IW10" i="1"/>
  <c r="IU10" i="1"/>
  <c r="IS10" i="1"/>
  <c r="IQ10" i="1"/>
  <c r="IM10" i="1"/>
  <c r="IK10" i="1"/>
  <c r="II10" i="1"/>
  <c r="IG10" i="1"/>
  <c r="IE10" i="1"/>
  <c r="IC10" i="1"/>
  <c r="IY9" i="1"/>
  <c r="IW9" i="1"/>
  <c r="IU9" i="1"/>
  <c r="IS9" i="1"/>
  <c r="IQ9" i="1"/>
  <c r="IM9" i="1"/>
  <c r="IK9" i="1"/>
  <c r="II9" i="1"/>
  <c r="IG9" i="1"/>
  <c r="IE9" i="1"/>
  <c r="IC9" i="1"/>
  <c r="IY7" i="1"/>
  <c r="IW7" i="1"/>
  <c r="IU7" i="1"/>
  <c r="IS7" i="1"/>
  <c r="IQ7" i="1"/>
  <c r="IM7" i="1"/>
  <c r="IK7" i="1"/>
  <c r="II7" i="1"/>
  <c r="IG7" i="1"/>
  <c r="IE7" i="1"/>
  <c r="IC7" i="1"/>
  <c r="IA23" i="1" l="1"/>
  <c r="HY23" i="1"/>
  <c r="HW23" i="1"/>
  <c r="HU23" i="1"/>
  <c r="HS23" i="1"/>
  <c r="HQ23" i="1"/>
  <c r="HO23" i="1"/>
  <c r="HM23" i="1"/>
  <c r="HK23" i="1"/>
  <c r="HI23" i="1"/>
  <c r="HG23" i="1"/>
  <c r="HE23" i="1"/>
  <c r="HC23" i="1"/>
  <c r="IA22" i="1"/>
  <c r="HY22" i="1"/>
  <c r="HW22" i="1"/>
  <c r="HU22" i="1"/>
  <c r="HS22" i="1"/>
  <c r="HQ22" i="1"/>
  <c r="HO22" i="1"/>
  <c r="HM22" i="1"/>
  <c r="HK22" i="1"/>
  <c r="HI22" i="1"/>
  <c r="HG22" i="1"/>
  <c r="HE22" i="1"/>
  <c r="HC22" i="1"/>
  <c r="IA21" i="1"/>
  <c r="HY21" i="1"/>
  <c r="HW21" i="1"/>
  <c r="HU21" i="1"/>
  <c r="HS21" i="1"/>
  <c r="HQ21" i="1"/>
  <c r="HO21" i="1"/>
  <c r="HM21" i="1"/>
  <c r="HK21" i="1"/>
  <c r="HI21" i="1"/>
  <c r="HG21" i="1"/>
  <c r="HE21" i="1"/>
  <c r="HC21" i="1"/>
  <c r="IA19" i="1"/>
  <c r="HY19" i="1"/>
  <c r="HW19" i="1"/>
  <c r="HU19" i="1"/>
  <c r="HS19" i="1"/>
  <c r="HQ19" i="1"/>
  <c r="HO19" i="1"/>
  <c r="HM19" i="1"/>
  <c r="HK19" i="1"/>
  <c r="HI19" i="1"/>
  <c r="HG19" i="1"/>
  <c r="HE19" i="1"/>
  <c r="HC19" i="1"/>
  <c r="IA17" i="1"/>
  <c r="HY17" i="1"/>
  <c r="HW17" i="1"/>
  <c r="HU17" i="1"/>
  <c r="HS17" i="1"/>
  <c r="HQ17" i="1"/>
  <c r="HO17" i="1"/>
  <c r="HM17" i="1"/>
  <c r="HK17" i="1"/>
  <c r="HI17" i="1"/>
  <c r="HG17" i="1"/>
  <c r="HE17" i="1"/>
  <c r="HC17" i="1"/>
  <c r="IA16" i="1"/>
  <c r="HY16" i="1"/>
  <c r="HW16" i="1"/>
  <c r="HU16" i="1"/>
  <c r="HS16" i="1"/>
  <c r="HQ16" i="1"/>
  <c r="HO16" i="1"/>
  <c r="HM16" i="1"/>
  <c r="HK16" i="1"/>
  <c r="HI16" i="1"/>
  <c r="HG16" i="1"/>
  <c r="HE16" i="1"/>
  <c r="HC16" i="1"/>
  <c r="IA15" i="1"/>
  <c r="HY15" i="1"/>
  <c r="HW15" i="1"/>
  <c r="HU15" i="1"/>
  <c r="HS15" i="1"/>
  <c r="HQ15" i="1"/>
  <c r="HO15" i="1"/>
  <c r="HM15" i="1"/>
  <c r="HK15" i="1"/>
  <c r="HI15" i="1"/>
  <c r="HG15" i="1"/>
  <c r="HE15" i="1"/>
  <c r="HC15" i="1"/>
  <c r="IA13" i="1"/>
  <c r="HY13" i="1"/>
  <c r="HW13" i="1"/>
  <c r="HU13" i="1"/>
  <c r="HS13" i="1"/>
  <c r="HQ13" i="1"/>
  <c r="HO13" i="1"/>
  <c r="HM13" i="1"/>
  <c r="HK13" i="1"/>
  <c r="HI13" i="1"/>
  <c r="HG13" i="1"/>
  <c r="HE13" i="1"/>
  <c r="HC13" i="1"/>
  <c r="IA11" i="1"/>
  <c r="HY11" i="1"/>
  <c r="HW11" i="1"/>
  <c r="HU11" i="1"/>
  <c r="HS11" i="1"/>
  <c r="HQ11" i="1"/>
  <c r="HO11" i="1"/>
  <c r="HM11" i="1"/>
  <c r="HK11" i="1"/>
  <c r="HI11" i="1"/>
  <c r="HG11" i="1"/>
  <c r="HE11" i="1"/>
  <c r="HC11" i="1"/>
  <c r="IA10" i="1"/>
  <c r="HY10" i="1"/>
  <c r="HW10" i="1"/>
  <c r="HU10" i="1"/>
  <c r="HS10" i="1"/>
  <c r="HQ10" i="1"/>
  <c r="HO10" i="1"/>
  <c r="HM10" i="1"/>
  <c r="HK10" i="1"/>
  <c r="HI10" i="1"/>
  <c r="HG10" i="1"/>
  <c r="HE10" i="1"/>
  <c r="HC10" i="1"/>
  <c r="IA9" i="1"/>
  <c r="HY9" i="1"/>
  <c r="HW9" i="1"/>
  <c r="HU9" i="1"/>
  <c r="HS9" i="1"/>
  <c r="HQ9" i="1"/>
  <c r="HO9" i="1"/>
  <c r="HM9" i="1"/>
  <c r="HK9" i="1"/>
  <c r="HI9" i="1"/>
  <c r="HG9" i="1"/>
  <c r="HE9" i="1"/>
  <c r="HC9" i="1"/>
  <c r="IA7" i="1"/>
  <c r="HY7" i="1"/>
  <c r="HW7" i="1"/>
  <c r="HU7" i="1"/>
  <c r="HS7" i="1"/>
  <c r="HQ7" i="1"/>
  <c r="HO7" i="1"/>
  <c r="HM7" i="1"/>
  <c r="HK7" i="1"/>
  <c r="HI7" i="1"/>
  <c r="HG7" i="1"/>
  <c r="HE7" i="1"/>
  <c r="HC7" i="1"/>
</calcChain>
</file>

<file path=xl/sharedStrings.xml><?xml version="1.0" encoding="utf-8"?>
<sst xmlns="http://schemas.openxmlformats.org/spreadsheetml/2006/main" count="511" uniqueCount="387">
  <si>
    <t>III</t>
  </si>
  <si>
    <t>VI</t>
  </si>
  <si>
    <t>VIII</t>
  </si>
  <si>
    <t>IX</t>
  </si>
  <si>
    <t>X</t>
  </si>
  <si>
    <t>XII</t>
  </si>
  <si>
    <t>I-XII</t>
  </si>
  <si>
    <t xml:space="preserve">II </t>
  </si>
  <si>
    <t xml:space="preserve">V </t>
  </si>
  <si>
    <t xml:space="preserve">VI </t>
  </si>
  <si>
    <t xml:space="preserve">VII </t>
  </si>
  <si>
    <t xml:space="preserve">VIII </t>
  </si>
  <si>
    <t xml:space="preserve">XI </t>
  </si>
  <si>
    <t xml:space="preserve">XII </t>
  </si>
  <si>
    <t xml:space="preserve">I-XII </t>
  </si>
  <si>
    <t xml:space="preserve">IV </t>
  </si>
  <si>
    <t xml:space="preserve">IX </t>
  </si>
  <si>
    <t xml:space="preserve">X </t>
  </si>
  <si>
    <t xml:space="preserve">I </t>
  </si>
  <si>
    <t>I. 11 /</t>
  </si>
  <si>
    <t>I. 10</t>
  </si>
  <si>
    <t>II. 11 /</t>
  </si>
  <si>
    <t>II. 10</t>
  </si>
  <si>
    <t>III. 11 /</t>
  </si>
  <si>
    <t>III. 10</t>
  </si>
  <si>
    <t>IV. 11 /</t>
  </si>
  <si>
    <t>IV. 10</t>
  </si>
  <si>
    <t>V. 11 /</t>
  </si>
  <si>
    <t>V. 10</t>
  </si>
  <si>
    <t>VI. 11 /</t>
  </si>
  <si>
    <t>VI. 10</t>
  </si>
  <si>
    <t>VII. 11 /</t>
  </si>
  <si>
    <t>VII. 10</t>
  </si>
  <si>
    <t>VIII. 11 /</t>
  </si>
  <si>
    <t>VIII. 10</t>
  </si>
  <si>
    <t>IX. 11 /</t>
  </si>
  <si>
    <t>IX. 10</t>
  </si>
  <si>
    <t>X. 11 /</t>
  </si>
  <si>
    <t>X. 10</t>
  </si>
  <si>
    <t>XI. 11 /</t>
  </si>
  <si>
    <t>XI. 10</t>
  </si>
  <si>
    <t>XII. 11 /</t>
  </si>
  <si>
    <t>XII. 10</t>
  </si>
  <si>
    <t>I-XII. 11 /</t>
  </si>
  <si>
    <t>I-XII. 10</t>
  </si>
  <si>
    <t>I. 12 /</t>
  </si>
  <si>
    <t>I. 11</t>
  </si>
  <si>
    <t>II. 12 /</t>
  </si>
  <si>
    <t>II. 11</t>
  </si>
  <si>
    <t>III. 12 /</t>
  </si>
  <si>
    <t>III. 11</t>
  </si>
  <si>
    <t>IV. 12 /</t>
  </si>
  <si>
    <t>IV. 11</t>
  </si>
  <si>
    <t>V. 12 /</t>
  </si>
  <si>
    <t>V. 11</t>
  </si>
  <si>
    <t>VI. 12 /</t>
  </si>
  <si>
    <t>VI. 11</t>
  </si>
  <si>
    <t>VII. 12 /</t>
  </si>
  <si>
    <t>VII. 11</t>
  </si>
  <si>
    <t>VIII. 12 /</t>
  </si>
  <si>
    <t>VIII. 11</t>
  </si>
  <si>
    <t>IX. 12 /</t>
  </si>
  <si>
    <t>IX. 11</t>
  </si>
  <si>
    <t>X. 12 /</t>
  </si>
  <si>
    <t>X. 11</t>
  </si>
  <si>
    <t>XI. 12 /</t>
  </si>
  <si>
    <t>XI. 11</t>
  </si>
  <si>
    <t>XII. 12 /</t>
  </si>
  <si>
    <t>XII. 11</t>
  </si>
  <si>
    <t>I-XII. 12 /</t>
  </si>
  <si>
    <t>I-XII. 11</t>
  </si>
  <si>
    <t>I. 13 /</t>
  </si>
  <si>
    <t>I. 12</t>
  </si>
  <si>
    <t>II. 13 /</t>
  </si>
  <si>
    <t>II. 12</t>
  </si>
  <si>
    <t>III. 13 /</t>
  </si>
  <si>
    <t>III. 12</t>
  </si>
  <si>
    <t>IV. 13 /</t>
  </si>
  <si>
    <t>IV. 12</t>
  </si>
  <si>
    <t>V. 13 /</t>
  </si>
  <si>
    <t>V. 12</t>
  </si>
  <si>
    <t>VI. 13 /</t>
  </si>
  <si>
    <t>VI. 12</t>
  </si>
  <si>
    <t>VII. 13 /</t>
  </si>
  <si>
    <t>VII. 12</t>
  </si>
  <si>
    <t>VIII. 13 /</t>
  </si>
  <si>
    <t>VIII. 12</t>
  </si>
  <si>
    <t>IX. 13 /</t>
  </si>
  <si>
    <t>IX. 12</t>
  </si>
  <si>
    <t>X. 13 /</t>
  </si>
  <si>
    <t>X. 12</t>
  </si>
  <si>
    <t>XI. 13 /</t>
  </si>
  <si>
    <t>XI. 12</t>
  </si>
  <si>
    <t>XII. 13 /</t>
  </si>
  <si>
    <t>XII. 12</t>
  </si>
  <si>
    <t>I-XII. 13 /</t>
  </si>
  <si>
    <t>I-XII. 12</t>
  </si>
  <si>
    <t>I. 14 /</t>
  </si>
  <si>
    <t>I. 13</t>
  </si>
  <si>
    <t>II. 14 /</t>
  </si>
  <si>
    <t>II. 13</t>
  </si>
  <si>
    <t>III. 14 /</t>
  </si>
  <si>
    <t>III. 13</t>
  </si>
  <si>
    <t>IV. 14 /</t>
  </si>
  <si>
    <t>IV. 13</t>
  </si>
  <si>
    <t>V. 14 /</t>
  </si>
  <si>
    <t>V. 13</t>
  </si>
  <si>
    <t>VI. 14 /</t>
  </si>
  <si>
    <t>VI. 13</t>
  </si>
  <si>
    <t>VII. 14 /</t>
  </si>
  <si>
    <t>VII. 13</t>
  </si>
  <si>
    <t>VIII. 14 /</t>
  </si>
  <si>
    <t>VIII. 13</t>
  </si>
  <si>
    <t>IX. 14 /</t>
  </si>
  <si>
    <t>IX. 13</t>
  </si>
  <si>
    <t>X. 14 /</t>
  </si>
  <si>
    <t>X. 13</t>
  </si>
  <si>
    <t>XI. 14 /</t>
  </si>
  <si>
    <t>XI. 13</t>
  </si>
  <si>
    <t>Экспорт - всего, млн. долларов США</t>
  </si>
  <si>
    <r>
      <t xml:space="preserve">    </t>
    </r>
    <r>
      <rPr>
        <sz val="12"/>
        <rFont val="Times New Roman"/>
        <family val="1"/>
        <charset val="204"/>
      </rPr>
      <t>в том числе:</t>
    </r>
  </si>
  <si>
    <t>Импорт - всего, млн. долларов США</t>
  </si>
  <si>
    <t>Торговый баланс - всего, млн. долларов США</t>
  </si>
  <si>
    <r>
      <t>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</si>
  <si>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 xml:space="preserve">II  </t>
  </si>
  <si>
    <t xml:space="preserve">III  </t>
  </si>
  <si>
    <t xml:space="preserve">VIII  </t>
  </si>
  <si>
    <t xml:space="preserve">IX  </t>
  </si>
  <si>
    <t xml:space="preserve">XI  </t>
  </si>
  <si>
    <t xml:space="preserve">I-XII  </t>
  </si>
  <si>
    <t>XII. 14 /</t>
  </si>
  <si>
    <t>I-XII. 14 /</t>
  </si>
  <si>
    <t>XII. 13</t>
  </si>
  <si>
    <t>I-XII. 13</t>
  </si>
  <si>
    <t>I. 15 /</t>
  </si>
  <si>
    <t>I. 14</t>
  </si>
  <si>
    <t>II. 15 /</t>
  </si>
  <si>
    <t>II. 14</t>
  </si>
  <si>
    <t>III. 15 /</t>
  </si>
  <si>
    <t>III. 14</t>
  </si>
  <si>
    <t>IV. 15 /</t>
  </si>
  <si>
    <t>IV. 14</t>
  </si>
  <si>
    <t>V. 15 /</t>
  </si>
  <si>
    <t>V. 14</t>
  </si>
  <si>
    <t>VI. 15 /</t>
  </si>
  <si>
    <t>VI. 14</t>
  </si>
  <si>
    <t>VII. 15 /</t>
  </si>
  <si>
    <t>VII. 14</t>
  </si>
  <si>
    <t>VIII. 15 /</t>
  </si>
  <si>
    <t>VIII. 14</t>
  </si>
  <si>
    <t>IX. 15 /</t>
  </si>
  <si>
    <t>IX. 14</t>
  </si>
  <si>
    <t>X. 15 /</t>
  </si>
  <si>
    <t>X. 14</t>
  </si>
  <si>
    <t>XI. 15 /</t>
  </si>
  <si>
    <t>XI. 14</t>
  </si>
  <si>
    <t xml:space="preserve">III </t>
  </si>
  <si>
    <t>XII. 15 /</t>
  </si>
  <si>
    <t>XII. 14</t>
  </si>
  <si>
    <t>I-XII. 15 /</t>
  </si>
  <si>
    <t>I-XII. 14</t>
  </si>
  <si>
    <t>I. 16 /</t>
  </si>
  <si>
    <t>I. 15</t>
  </si>
  <si>
    <t>II. 16 /</t>
  </si>
  <si>
    <t>II. 15</t>
  </si>
  <si>
    <t>III. 16 /</t>
  </si>
  <si>
    <t>III. 15</t>
  </si>
  <si>
    <t>IV. 16 /</t>
  </si>
  <si>
    <t>IV. 15</t>
  </si>
  <si>
    <t>страны остального мира</t>
  </si>
  <si>
    <t>V. 16 /</t>
  </si>
  <si>
    <t>V. 15</t>
  </si>
  <si>
    <t>I</t>
  </si>
  <si>
    <t>VI. 16 /</t>
  </si>
  <si>
    <t>VI. 15</t>
  </si>
  <si>
    <t>VII. 16 /</t>
  </si>
  <si>
    <t>VII. 15</t>
  </si>
  <si>
    <t>VIII. 16 /</t>
  </si>
  <si>
    <t>VIII. 15</t>
  </si>
  <si>
    <t>IX. 16 /</t>
  </si>
  <si>
    <t>IX. 15</t>
  </si>
  <si>
    <t>VII</t>
  </si>
  <si>
    <r>
      <t>XI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</si>
  <si>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V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</si>
  <si>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IV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</si>
  <si>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II</t>
  </si>
  <si>
    <t>X. 16 /</t>
  </si>
  <si>
    <t>X. 15</t>
  </si>
  <si>
    <t>XI. 16 /</t>
  </si>
  <si>
    <t>XI. 15</t>
  </si>
  <si>
    <t>XII. 16 /</t>
  </si>
  <si>
    <t>XII. 15</t>
  </si>
  <si>
    <t>I-XII. 16 /</t>
  </si>
  <si>
    <t>I-XII. 15</t>
  </si>
  <si>
    <t>I. 17 /</t>
  </si>
  <si>
    <t>I. 16</t>
  </si>
  <si>
    <t>II. 17 /</t>
  </si>
  <si>
    <t>II. 16</t>
  </si>
  <si>
    <t>III. 17 /</t>
  </si>
  <si>
    <t>III. 16</t>
  </si>
  <si>
    <t>IV. 17 /</t>
  </si>
  <si>
    <t>IV. 16</t>
  </si>
  <si>
    <r>
      <t xml:space="preserve">IV 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</si>
  <si>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 xml:space="preserve">III 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</si>
  <si>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VI. 17 /</t>
  </si>
  <si>
    <t>VI. 16</t>
  </si>
  <si>
    <t>VII. 17 /</t>
  </si>
  <si>
    <t>VII. 16</t>
  </si>
  <si>
    <t>VIII. 17 /</t>
  </si>
  <si>
    <t>VIII. 16</t>
  </si>
  <si>
    <t>IX. 17 /</t>
  </si>
  <si>
    <t>IX. 16</t>
  </si>
  <si>
    <t>X. 17 /</t>
  </si>
  <si>
    <t>X. 16</t>
  </si>
  <si>
    <t>XI. 17 /</t>
  </si>
  <si>
    <t>XI. 16</t>
  </si>
  <si>
    <t>XII. 17 /</t>
  </si>
  <si>
    <t>XII. 16</t>
  </si>
  <si>
    <t>I-XII. 17 /</t>
  </si>
  <si>
    <t>I-XII. 16</t>
  </si>
  <si>
    <t>I. 18 /</t>
  </si>
  <si>
    <t>II. 18 /</t>
  </si>
  <si>
    <t>I. 17</t>
  </si>
  <si>
    <t>II. 17</t>
  </si>
  <si>
    <t>III. 18 /</t>
  </si>
  <si>
    <t>III. 17</t>
  </si>
  <si>
    <t>IV. 18 /</t>
  </si>
  <si>
    <t>IV. 17</t>
  </si>
  <si>
    <t>V. 17</t>
  </si>
  <si>
    <t>V. 18 /</t>
  </si>
  <si>
    <t>VI. 18 /</t>
  </si>
  <si>
    <t>VI. 17</t>
  </si>
  <si>
    <t>VII. 18 /</t>
  </si>
  <si>
    <t>VII. 17</t>
  </si>
  <si>
    <t>VIII. 18 /</t>
  </si>
  <si>
    <t>VIII. 17</t>
  </si>
  <si>
    <t>IX. 18 /</t>
  </si>
  <si>
    <t>IX. 17</t>
  </si>
  <si>
    <t>X. 18 /</t>
  </si>
  <si>
    <t>X. 17</t>
  </si>
  <si>
    <t>XI. 18 /</t>
  </si>
  <si>
    <t>XI. 17</t>
  </si>
  <si>
    <t>XII. 18 /</t>
  </si>
  <si>
    <t>XII. 17</t>
  </si>
  <si>
    <t>I-XII. 18 /</t>
  </si>
  <si>
    <t>I-XII. 17</t>
  </si>
  <si>
    <t>I. 19 /</t>
  </si>
  <si>
    <t>I. 18</t>
  </si>
  <si>
    <t>II. 19 /</t>
  </si>
  <si>
    <t>II. 18</t>
  </si>
  <si>
    <t>III. 19 /</t>
  </si>
  <si>
    <t>III. 18</t>
  </si>
  <si>
    <t>IV. 19 /</t>
  </si>
  <si>
    <t>IV. 18</t>
  </si>
  <si>
    <t>V. 19 /</t>
  </si>
  <si>
    <t>V. 18</t>
  </si>
  <si>
    <r>
      <t xml:space="preserve">XII 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</si>
  <si>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II</t>
    </r>
    <r>
      <rPr>
        <b/>
        <sz val="12"/>
        <rFont val="Times New Roman"/>
        <family val="1"/>
        <charset val="204"/>
      </rPr>
      <t xml:space="preserve"> 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</si>
  <si>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</si>
  <si>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VI</t>
    </r>
    <r>
      <rPr>
        <b/>
        <vertAlign val="superscript"/>
        <sz val="12"/>
        <rFont val="Times New Roman"/>
        <family val="1"/>
        <charset val="204"/>
      </rPr>
      <t/>
    </r>
  </si>
  <si>
    <r>
      <t>VII</t>
    </r>
    <r>
      <rPr>
        <b/>
        <vertAlign val="superscript"/>
        <sz val="12"/>
        <rFont val="Times New Roman"/>
        <family val="1"/>
        <charset val="204"/>
      </rPr>
      <t xml:space="preserve">  </t>
    </r>
  </si>
  <si>
    <r>
      <t>VIII</t>
    </r>
    <r>
      <rPr>
        <b/>
        <sz val="12"/>
        <rFont val="Times New Roman"/>
        <family val="1"/>
        <charset val="204"/>
      </rPr>
      <t xml:space="preserve"> 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</si>
  <si>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IX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</si>
  <si>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X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</si>
  <si>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t>XI</t>
    </r>
    <r>
      <rPr>
        <b/>
        <sz val="12"/>
        <rFont val="Times New Roman"/>
        <family val="1"/>
        <charset val="204"/>
      </rPr>
      <t xml:space="preserve"> 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</si>
  <si>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I-XI</t>
  </si>
  <si>
    <t>VI. 19 /</t>
  </si>
  <si>
    <t>VI. 18</t>
  </si>
  <si>
    <t>VII. 19 /</t>
  </si>
  <si>
    <t>VII. 18</t>
  </si>
  <si>
    <t>VIII. 19 /</t>
  </si>
  <si>
    <t>VIII. 18</t>
  </si>
  <si>
    <t>IX. 19 /</t>
  </si>
  <si>
    <t>IX. 18</t>
  </si>
  <si>
    <t>X. 18</t>
  </si>
  <si>
    <t>X. 19 /</t>
  </si>
  <si>
    <t>XI. 19 /</t>
  </si>
  <si>
    <t>XI. 18</t>
  </si>
  <si>
    <t>XII. 19 /</t>
  </si>
  <si>
    <t>XII. 18</t>
  </si>
  <si>
    <t>I-XII. 19 /</t>
  </si>
  <si>
    <t>I-XII. 18</t>
  </si>
  <si>
    <t>I. 20 /</t>
  </si>
  <si>
    <t>I. 19</t>
  </si>
  <si>
    <t>II. 20 /</t>
  </si>
  <si>
    <t>II. 19</t>
  </si>
  <si>
    <t>III. 20 /</t>
  </si>
  <si>
    <t>III. 19</t>
  </si>
  <si>
    <t>IV. 20 /</t>
  </si>
  <si>
    <t>IV. 19</t>
  </si>
  <si>
    <r>
      <t>XII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</si>
  <si>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V. 20 /</t>
  </si>
  <si>
    <t>V. 19</t>
  </si>
  <si>
    <t>VI. 20 /</t>
  </si>
  <si>
    <t>VI. 19</t>
  </si>
  <si>
    <r>
      <t>II</t>
    </r>
    <r>
      <rPr>
        <b/>
        <vertAlign val="superscript"/>
        <sz val="12"/>
        <rFont val="Times New Roman"/>
        <family val="1"/>
        <charset val="204"/>
      </rPr>
      <t xml:space="preserve">  </t>
    </r>
  </si>
  <si>
    <r>
      <t>III</t>
    </r>
    <r>
      <rPr>
        <b/>
        <vertAlign val="superscript"/>
        <sz val="12"/>
        <rFont val="Times New Roman"/>
        <family val="1"/>
        <charset val="204"/>
      </rPr>
      <t xml:space="preserve">  </t>
    </r>
  </si>
  <si>
    <t>IV</t>
  </si>
  <si>
    <t>V</t>
  </si>
  <si>
    <r>
      <t>I-XII</t>
    </r>
    <r>
      <rPr>
        <b/>
        <vertAlign val="superscript"/>
        <sz val="12"/>
        <rFont val="Times New Roman"/>
        <family val="1"/>
        <charset val="204"/>
      </rPr>
      <t/>
    </r>
  </si>
  <si>
    <t>VII. 20 /</t>
  </si>
  <si>
    <t>VII. 19</t>
  </si>
  <si>
    <t>VIII. 20 /</t>
  </si>
  <si>
    <t>VIII. 19</t>
  </si>
  <si>
    <t>IX. 20 /</t>
  </si>
  <si>
    <t>IX. 19</t>
  </si>
  <si>
    <t xml:space="preserve">1. ДИНАМИКА ЭКСПОРТА, ИМПОРТА И ТОРГОВОГО БАЛАНСА ПО МЕСЯЦАМ </t>
  </si>
  <si>
    <t>X. 20 /</t>
  </si>
  <si>
    <t>X. 19</t>
  </si>
  <si>
    <t>XI. 20 /</t>
  </si>
  <si>
    <t>XI. 19</t>
  </si>
  <si>
    <t>I-XII. 20 /</t>
  </si>
  <si>
    <t>I-XII. 19</t>
  </si>
  <si>
    <t>I. 21 /</t>
  </si>
  <si>
    <t>I. 20</t>
  </si>
  <si>
    <t>II. 21 /</t>
  </si>
  <si>
    <t>II. 20</t>
  </si>
  <si>
    <t>III. 21 /</t>
  </si>
  <si>
    <t>III. 20</t>
  </si>
  <si>
    <r>
      <t xml:space="preserve">VII </t>
    </r>
    <r>
      <rPr>
        <b/>
        <vertAlign val="superscript"/>
        <sz val="12"/>
        <rFont val="Times New Roman"/>
        <family val="1"/>
        <charset val="204"/>
      </rPr>
      <t>у)</t>
    </r>
  </si>
  <si>
    <r>
      <t>I-XII</t>
    </r>
    <r>
      <rPr>
        <b/>
        <vertAlign val="superscript"/>
        <sz val="12"/>
        <rFont val="Times New Roman"/>
        <family val="1"/>
        <charset val="204"/>
      </rPr>
      <t xml:space="preserve"> у)  </t>
    </r>
  </si>
  <si>
    <t>IV. 21 /</t>
  </si>
  <si>
    <t>IV. 20</t>
  </si>
  <si>
    <r>
      <t xml:space="preserve">II </t>
    </r>
    <r>
      <rPr>
        <b/>
        <vertAlign val="superscript"/>
        <sz val="12"/>
        <rFont val="Times New Roman"/>
        <family val="1"/>
        <charset val="204"/>
      </rPr>
      <t/>
    </r>
  </si>
  <si>
    <r>
      <t xml:space="preserve">IX 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</si>
  <si>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 xml:space="preserve"> </t>
  </si>
  <si>
    <t>V. 20</t>
  </si>
  <si>
    <t>V. 21 /</t>
  </si>
  <si>
    <t xml:space="preserve"> Примечание: </t>
  </si>
  <si>
    <r>
      <t xml:space="preserve">страны СНГ </t>
    </r>
    <r>
      <rPr>
        <vertAlign val="superscript"/>
        <sz val="12"/>
        <rFont val="Times New Roman"/>
        <family val="1"/>
        <charset val="204"/>
      </rPr>
      <t>2)</t>
    </r>
  </si>
  <si>
    <r>
      <t xml:space="preserve">страны Европейского Союза </t>
    </r>
    <r>
      <rPr>
        <vertAlign val="superscript"/>
        <sz val="12"/>
        <rFont val="Times New Roman"/>
        <family val="1"/>
        <charset val="204"/>
      </rPr>
      <t xml:space="preserve">3),4) </t>
    </r>
  </si>
  <si>
    <r>
      <t xml:space="preserve">  </t>
    </r>
    <r>
      <rPr>
        <vertAlign val="superscript"/>
        <sz val="10"/>
        <rFont val="Times New Roman"/>
        <family val="1"/>
        <charset val="204"/>
      </rPr>
      <t>1)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Информация не включает данные предприятий и организаций левобережья Днестра и муниципия  Бендер</t>
    </r>
  </si>
  <si>
    <r>
      <rPr>
        <vertAlign val="superscript"/>
        <sz val="10"/>
        <rFont val="Times New Roman"/>
        <family val="1"/>
        <charset val="204"/>
      </rPr>
      <t xml:space="preserve">   3)</t>
    </r>
    <r>
      <rPr>
        <sz val="10"/>
        <rFont val="Times New Roman"/>
        <family val="1"/>
        <charset val="204"/>
      </rPr>
      <t xml:space="preserve"> С 2013 года Европейский союз насчитывает 28 государств-членов, после вхождения Хорватии в состав ЕС </t>
    </r>
  </si>
  <si>
    <r>
      <t xml:space="preserve"> </t>
    </r>
    <r>
      <rPr>
        <b/>
        <vertAlign val="superscript"/>
        <sz val="10"/>
        <rFont val="Times New Roman"/>
        <family val="1"/>
        <charset val="204"/>
      </rPr>
      <t xml:space="preserve">  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</si>
  <si>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 xml:space="preserve">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</si>
  <si>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Источник данных: </t>
    </r>
    <r>
      <rPr>
        <sz val="10"/>
        <rFont val="Times New Roman"/>
        <family val="1"/>
        <charset val="204"/>
      </rPr>
      <t>Таможенная служба (таможенные экспортные и импортные декларации юридических лиц)</t>
    </r>
  </si>
  <si>
    <r>
      <t xml:space="preserve">  </t>
    </r>
    <r>
      <rPr>
        <vertAlign val="superscript"/>
        <sz val="10"/>
        <rFont val="Times New Roman"/>
        <family val="1"/>
        <charset val="204"/>
      </rPr>
      <t xml:space="preserve">4) </t>
    </r>
    <r>
      <rPr>
        <sz val="10"/>
        <rFont val="Times New Roman"/>
        <family val="1"/>
        <charset val="204"/>
      </rPr>
      <t>С 2020 года Европейский союз насчитывает 27 государств-членов после того, как Соединенное Королевство Великобритании и Северной Ирландии покинуло состав ЕС</t>
    </r>
  </si>
  <si>
    <r>
      <rPr>
        <vertAlign val="superscript"/>
        <sz val="10"/>
        <rFont val="Times New Roman"/>
        <family val="1"/>
        <charset val="204"/>
      </rPr>
      <t xml:space="preserve">  2) </t>
    </r>
    <r>
      <rPr>
        <sz val="10"/>
        <rFont val="Times New Roman"/>
        <family val="1"/>
        <charset val="204"/>
      </rPr>
      <t>С 2009 года Грузия больше не является членом Содружества независимых государств</t>
    </r>
  </si>
  <si>
    <t>Уровень покрытия импортных поступлений экспортными поставками, %</t>
  </si>
  <si>
    <t>VI. 21 /</t>
  </si>
  <si>
    <t>VI. 20</t>
  </si>
  <si>
    <t>VII. 21 /</t>
  </si>
  <si>
    <t>VII. 20</t>
  </si>
  <si>
    <t>VIII. 21 /</t>
  </si>
  <si>
    <t>VIII. 20</t>
  </si>
  <si>
    <t>IX. 21 /</t>
  </si>
  <si>
    <t>IX. 20</t>
  </si>
  <si>
    <t>X. 20</t>
  </si>
  <si>
    <t>X. 21 /</t>
  </si>
  <si>
    <t>XI. 21 /</t>
  </si>
  <si>
    <t>XI. 20</t>
  </si>
  <si>
    <r>
      <t xml:space="preserve">XI </t>
    </r>
    <r>
      <rPr>
        <b/>
        <vertAlign val="superscript"/>
        <sz val="12"/>
        <rFont val="Times New Roman"/>
        <family val="1"/>
        <charset val="204"/>
      </rPr>
      <t>у)</t>
    </r>
  </si>
  <si>
    <t>XII. 21 /</t>
  </si>
  <si>
    <t>XII. 20</t>
  </si>
  <si>
    <t>I-XII. 21 /</t>
  </si>
  <si>
    <t>I-XII. 20</t>
  </si>
  <si>
    <r>
      <t>II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</si>
  <si>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t>I. 22 /</t>
  </si>
  <si>
    <t>I. 21</t>
  </si>
  <si>
    <r>
      <t xml:space="preserve">за 2011-2022 </t>
    </r>
    <r>
      <rPr>
        <b/>
        <vertAlign val="superscript"/>
        <sz val="14"/>
        <rFont val="Times New Roman"/>
        <family val="1"/>
        <charset val="204"/>
      </rPr>
      <t>1)</t>
    </r>
    <r>
      <rPr>
        <b/>
        <sz val="14"/>
        <rFont val="Times New Roman"/>
        <family val="1"/>
        <charset val="204"/>
      </rPr>
      <t xml:space="preserve"> гг.</t>
    </r>
  </si>
  <si>
    <r>
      <t xml:space="preserve">I </t>
    </r>
    <r>
      <rPr>
        <b/>
        <vertAlign val="superscript"/>
        <sz val="12"/>
        <rFont val="Times New Roman"/>
        <family val="1"/>
        <charset val="204"/>
      </rPr>
      <t>у)</t>
    </r>
  </si>
  <si>
    <t>II. 22 /</t>
  </si>
  <si>
    <t>II. 21</t>
  </si>
  <si>
    <t>III. 22 /</t>
  </si>
  <si>
    <t>III. 21</t>
  </si>
  <si>
    <r>
      <t xml:space="preserve">II </t>
    </r>
    <r>
      <rPr>
        <b/>
        <vertAlign val="superscript"/>
        <sz val="12"/>
        <rFont val="Times New Roman"/>
        <family val="1"/>
        <charset val="204"/>
      </rPr>
      <t>у)</t>
    </r>
  </si>
  <si>
    <r>
      <t xml:space="preserve">III </t>
    </r>
    <r>
      <rPr>
        <b/>
        <vertAlign val="superscript"/>
        <sz val="12"/>
        <rFont val="Times New Roman"/>
        <family val="1"/>
        <charset val="204"/>
      </rPr>
      <t>у)</t>
    </r>
  </si>
  <si>
    <t>IV. 22 /</t>
  </si>
  <si>
    <t>IV. 21</t>
  </si>
  <si>
    <t>V. 22 /</t>
  </si>
  <si>
    <t>V. 21</t>
  </si>
  <si>
    <r>
      <t xml:space="preserve">I-XII </t>
    </r>
    <r>
      <rPr>
        <b/>
        <vertAlign val="superscript"/>
        <sz val="12"/>
        <rFont val="Times New Roman"/>
        <family val="1"/>
        <charset val="204"/>
      </rPr>
      <t>у)</t>
    </r>
  </si>
  <si>
    <t>VI. 22 /</t>
  </si>
  <si>
    <t>VI. 21</t>
  </si>
  <si>
    <r>
      <t xml:space="preserve">IV </t>
    </r>
    <r>
      <rPr>
        <b/>
        <vertAlign val="superscript"/>
        <sz val="12"/>
        <rFont val="Times New Roman"/>
        <family val="1"/>
        <charset val="204"/>
      </rPr>
      <t>у)</t>
    </r>
  </si>
  <si>
    <r>
      <t xml:space="preserve">V </t>
    </r>
    <r>
      <rPr>
        <b/>
        <vertAlign val="superscript"/>
        <sz val="12"/>
        <rFont val="Times New Roman"/>
        <family val="1"/>
        <charset val="204"/>
      </rPr>
      <t>у)</t>
    </r>
  </si>
  <si>
    <r>
      <t>7176,8</t>
    </r>
    <r>
      <rPr>
        <b/>
        <vertAlign val="superscript"/>
        <sz val="12"/>
        <rFont val="Times New Roman"/>
        <family val="1"/>
        <charset val="204"/>
      </rPr>
      <t xml:space="preserve"> у)</t>
    </r>
  </si>
  <si>
    <r>
      <t xml:space="preserve">701,5 </t>
    </r>
    <r>
      <rPr>
        <b/>
        <vertAlign val="superscript"/>
        <sz val="12"/>
        <rFont val="Times New Roman"/>
        <family val="1"/>
        <charset val="204"/>
      </rPr>
      <t>у)</t>
    </r>
  </si>
  <si>
    <r>
      <t>X</t>
    </r>
    <r>
      <rPr>
        <b/>
        <vertAlign val="superscript"/>
        <sz val="12"/>
        <rFont val="Times New Roman"/>
        <family val="1"/>
        <charset val="204"/>
      </rPr>
      <t xml:space="preserve"> у)</t>
    </r>
  </si>
  <si>
    <r>
      <t>352,2</t>
    </r>
    <r>
      <rPr>
        <b/>
        <vertAlign val="superscript"/>
        <sz val="12"/>
        <rFont val="Times New Roman"/>
        <family val="1"/>
        <charset val="204"/>
      </rPr>
      <t>у)</t>
    </r>
  </si>
  <si>
    <r>
      <t xml:space="preserve">VI </t>
    </r>
    <r>
      <rPr>
        <b/>
        <vertAlign val="superscript"/>
        <sz val="12"/>
        <rFont val="Times New Roman"/>
        <family val="1"/>
        <charset val="204"/>
      </rPr>
      <t>у)</t>
    </r>
  </si>
  <si>
    <r>
      <t xml:space="preserve">VII </t>
    </r>
    <r>
      <rPr>
        <b/>
        <vertAlign val="superscript"/>
        <sz val="12"/>
        <rFont val="Times New Roman"/>
        <family val="1"/>
        <charset val="204"/>
      </rPr>
      <t>п)</t>
    </r>
  </si>
  <si>
    <t>VII. 22 /</t>
  </si>
  <si>
    <t>VII. 21</t>
  </si>
  <si>
    <r>
      <t xml:space="preserve">VIII </t>
    </r>
    <r>
      <rPr>
        <b/>
        <vertAlign val="superscript"/>
        <sz val="12"/>
        <rFont val="Times New Roman"/>
        <family val="1"/>
        <charset val="204"/>
      </rPr>
      <t>п)</t>
    </r>
  </si>
  <si>
    <t>VIII. 22 /</t>
  </si>
  <si>
    <t>VIII.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</si>
</sst>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1"/>
      <name val="Calibri"/>
      <family val="2"/>
      <charset val="204"/>
    </font>
    <font>
      <b/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349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7" xfId="0" applyFont="1" applyBorder="1" applyAlignment="1"/>
    <xf numFmtId="0" fontId="8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0" xfId="0" applyFont="1" applyAlignment="1"/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0" xfId="0" applyFont="1" applyFill="1"/>
    <xf numFmtId="165" fontId="5" fillId="0" borderId="0" xfId="0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165" fontId="6" fillId="0" borderId="0" xfId="0" applyNumberFormat="1" applyFont="1" applyFill="1" applyBorder="1" applyAlignment="1" applyProtection="1">
      <alignment horizontal="center" vertical="top" wrapText="1"/>
    </xf>
    <xf numFmtId="164" fontId="6" fillId="0" borderId="0" xfId="0" applyNumberFormat="1" applyFont="1" applyFill="1" applyBorder="1" applyAlignment="1" applyProtection="1">
      <alignment horizontal="center" vertical="top" wrapText="1"/>
    </xf>
    <xf numFmtId="165" fontId="6" fillId="0" borderId="0" xfId="0" applyNumberFormat="1" applyFont="1" applyFill="1" applyAlignment="1" applyProtection="1">
      <alignment horizontal="center" vertical="top" wrapText="1"/>
    </xf>
    <xf numFmtId="164" fontId="6" fillId="0" borderId="0" xfId="0" applyNumberFormat="1" applyFont="1" applyFill="1" applyAlignment="1" applyProtection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9" fillId="2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164" fontId="5" fillId="3" borderId="0" xfId="0" applyNumberFormat="1" applyFont="1" applyFill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64" fontId="16" fillId="0" borderId="0" xfId="0" applyNumberFormat="1" applyFont="1" applyAlignment="1">
      <alignment horizontal="center" vertical="top" wrapText="1"/>
    </xf>
    <xf numFmtId="164" fontId="16" fillId="3" borderId="0" xfId="0" applyNumberFormat="1" applyFont="1" applyFill="1" applyAlignment="1">
      <alignment horizontal="center" vertical="top" wrapText="1"/>
    </xf>
    <xf numFmtId="164" fontId="16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 wrapText="1"/>
    </xf>
    <xf numFmtId="164" fontId="12" fillId="2" borderId="0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164" fontId="12" fillId="0" borderId="0" xfId="0" applyNumberFormat="1" applyFont="1" applyAlignment="1">
      <alignment horizontal="center" vertical="top" wrapText="1"/>
    </xf>
    <xf numFmtId="164" fontId="6" fillId="3" borderId="0" xfId="0" applyNumberFormat="1" applyFont="1" applyFill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17" fillId="0" borderId="0" xfId="0" applyNumberFormat="1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64" fontId="13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4" fontId="15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164" fontId="12" fillId="2" borderId="0" xfId="0" applyNumberFormat="1" applyFont="1" applyFill="1" applyAlignment="1">
      <alignment horizontal="center" vertical="top" wrapText="1"/>
    </xf>
    <xf numFmtId="164" fontId="12" fillId="0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 wrapText="1"/>
    </xf>
    <xf numFmtId="164" fontId="15" fillId="0" borderId="0" xfId="0" applyNumberFormat="1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15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164" fontId="12" fillId="0" borderId="6" xfId="0" applyNumberFormat="1" applyFont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 applyProtection="1">
      <alignment horizontal="center" vertical="top"/>
    </xf>
    <xf numFmtId="165" fontId="6" fillId="0" borderId="0" xfId="0" applyNumberFormat="1" applyFont="1" applyFill="1" applyBorder="1" applyAlignment="1" applyProtection="1">
      <alignment horizontal="center" vertical="top"/>
    </xf>
    <xf numFmtId="165" fontId="6" fillId="0" borderId="0" xfId="0" applyNumberFormat="1" applyFont="1" applyFill="1" applyAlignment="1" applyProtection="1">
      <alignment horizontal="center" vertical="top"/>
    </xf>
    <xf numFmtId="164" fontId="5" fillId="0" borderId="0" xfId="0" applyNumberFormat="1" applyFont="1" applyFill="1" applyBorder="1" applyAlignment="1" applyProtection="1">
      <alignment horizontal="center" vertical="top"/>
    </xf>
    <xf numFmtId="164" fontId="6" fillId="0" borderId="0" xfId="0" applyNumberFormat="1" applyFont="1" applyFill="1" applyBorder="1" applyAlignment="1" applyProtection="1">
      <alignment horizontal="center" vertical="top"/>
    </xf>
    <xf numFmtId="164" fontId="6" fillId="0" borderId="0" xfId="0" applyNumberFormat="1" applyFont="1" applyFill="1" applyAlignment="1" applyProtection="1">
      <alignment horizontal="center" vertical="top"/>
    </xf>
    <xf numFmtId="165" fontId="5" fillId="3" borderId="0" xfId="0" applyNumberFormat="1" applyFont="1" applyFill="1" applyBorder="1" applyAlignment="1" applyProtection="1">
      <alignment horizontal="center" vertical="top" wrapText="1"/>
    </xf>
    <xf numFmtId="165" fontId="6" fillId="3" borderId="0" xfId="0" applyNumberFormat="1" applyFont="1" applyFill="1" applyAlignment="1" applyProtection="1">
      <alignment horizontal="center" vertical="top" wrapText="1"/>
    </xf>
    <xf numFmtId="165" fontId="6" fillId="3" borderId="0" xfId="0" applyNumberFormat="1" applyFont="1" applyFill="1" applyBorder="1" applyAlignment="1" applyProtection="1">
      <alignment horizontal="center" vertical="top" wrapText="1"/>
    </xf>
    <xf numFmtId="165" fontId="5" fillId="3" borderId="0" xfId="0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 applyAlignment="1" applyProtection="1">
      <alignment horizontal="center" vertical="top"/>
    </xf>
    <xf numFmtId="164" fontId="6" fillId="3" borderId="6" xfId="0" applyNumberFormat="1" applyFont="1" applyFill="1" applyBorder="1" applyAlignment="1">
      <alignment horizontal="center" vertical="top" wrapText="1"/>
    </xf>
    <xf numFmtId="165" fontId="5" fillId="0" borderId="5" xfId="1" applyNumberFormat="1" applyFont="1" applyFill="1" applyBorder="1" applyAlignment="1" applyProtection="1">
      <alignment horizontal="center" vertical="top"/>
    </xf>
    <xf numFmtId="165" fontId="6" fillId="0" borderId="0" xfId="1" applyNumberFormat="1" applyFont="1" applyFill="1" applyAlignment="1" applyProtection="1">
      <alignment horizontal="center" vertical="top"/>
    </xf>
    <xf numFmtId="164" fontId="5" fillId="0" borderId="0" xfId="1" applyNumberFormat="1" applyFont="1" applyFill="1" applyBorder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horizontal="center" vertical="top"/>
    </xf>
    <xf numFmtId="164" fontId="6" fillId="3" borderId="0" xfId="0" applyNumberFormat="1" applyFont="1" applyFill="1" applyBorder="1" applyAlignment="1" applyProtection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 applyProtection="1">
      <alignment horizontal="center" vertical="top"/>
    </xf>
    <xf numFmtId="165" fontId="5" fillId="3" borderId="5" xfId="0" applyNumberFormat="1" applyFont="1" applyFill="1" applyBorder="1" applyAlignment="1">
      <alignment horizontal="center" vertical="top"/>
    </xf>
    <xf numFmtId="165" fontId="5" fillId="3" borderId="5" xfId="0" applyNumberFormat="1" applyFont="1" applyFill="1" applyBorder="1" applyAlignment="1" applyProtection="1">
      <alignment horizontal="center" vertical="top"/>
    </xf>
    <xf numFmtId="165" fontId="16" fillId="0" borderId="0" xfId="0" applyNumberFormat="1" applyFont="1" applyFill="1" applyBorder="1" applyAlignment="1">
      <alignment horizontal="center" vertical="top"/>
    </xf>
    <xf numFmtId="165" fontId="16" fillId="3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/>
    </xf>
    <xf numFmtId="165" fontId="6" fillId="3" borderId="0" xfId="0" applyNumberFormat="1" applyFont="1" applyFill="1" applyBorder="1" applyAlignment="1">
      <alignment horizontal="center" vertical="top"/>
    </xf>
    <xf numFmtId="165" fontId="6" fillId="3" borderId="0" xfId="0" applyNumberFormat="1" applyFont="1" applyFill="1" applyBorder="1" applyAlignment="1" applyProtection="1">
      <alignment horizontal="center" vertical="top"/>
    </xf>
    <xf numFmtId="165" fontId="6" fillId="0" borderId="0" xfId="0" applyNumberFormat="1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 applyProtection="1">
      <alignment horizontal="center" vertical="top" wrapText="1"/>
    </xf>
    <xf numFmtId="165" fontId="16" fillId="0" borderId="0" xfId="0" applyNumberFormat="1" applyFont="1" applyFill="1" applyBorder="1" applyAlignment="1">
      <alignment horizontal="center" vertical="top" wrapText="1"/>
    </xf>
    <xf numFmtId="165" fontId="16" fillId="3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/>
    </xf>
    <xf numFmtId="165" fontId="5" fillId="3" borderId="0" xfId="0" applyNumberFormat="1" applyFont="1" applyFill="1" applyBorder="1" applyAlignment="1">
      <alignment horizontal="center" vertical="top"/>
    </xf>
    <xf numFmtId="165" fontId="1" fillId="3" borderId="0" xfId="0" applyNumberFormat="1" applyFon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165" fontId="0" fillId="3" borderId="0" xfId="0" applyNumberFormat="1" applyFill="1" applyBorder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16" fillId="0" borderId="0" xfId="0" applyNumberFormat="1" applyFont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/>
    </xf>
    <xf numFmtId="165" fontId="6" fillId="0" borderId="0" xfId="0" applyNumberFormat="1" applyFont="1" applyAlignment="1">
      <alignment horizontal="center" vertical="top" wrapText="1"/>
    </xf>
    <xf numFmtId="165" fontId="6" fillId="3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/>
    </xf>
    <xf numFmtId="165" fontId="6" fillId="0" borderId="0" xfId="0" applyNumberFormat="1" applyFont="1" applyFill="1" applyAlignment="1">
      <alignment horizontal="center" vertical="top"/>
    </xf>
    <xf numFmtId="165" fontId="6" fillId="3" borderId="0" xfId="0" applyNumberFormat="1" applyFont="1" applyFill="1" applyAlignment="1">
      <alignment horizontal="center" vertical="top"/>
    </xf>
    <xf numFmtId="165" fontId="16" fillId="0" borderId="0" xfId="0" applyNumberFormat="1" applyFont="1" applyAlignment="1">
      <alignment horizontal="center" vertical="top"/>
    </xf>
    <xf numFmtId="165" fontId="6" fillId="0" borderId="15" xfId="0" applyNumberFormat="1" applyFont="1" applyBorder="1" applyAlignment="1">
      <alignment horizontal="center" vertical="top" wrapText="1"/>
    </xf>
    <xf numFmtId="165" fontId="21" fillId="0" borderId="15" xfId="0" applyNumberFormat="1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/>
    </xf>
    <xf numFmtId="165" fontId="6" fillId="3" borderId="15" xfId="0" applyNumberFormat="1" applyFont="1" applyFill="1" applyBorder="1" applyAlignment="1">
      <alignment horizontal="center" vertical="top" wrapText="1"/>
    </xf>
    <xf numFmtId="165" fontId="6" fillId="3" borderId="15" xfId="0" applyNumberFormat="1" applyFont="1" applyFill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16" fillId="0" borderId="6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16" fillId="0" borderId="0" xfId="0" applyNumberFormat="1" applyFont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 vertical="top"/>
    </xf>
    <xf numFmtId="165" fontId="16" fillId="0" borderId="0" xfId="0" applyNumberFormat="1" applyFont="1" applyBorder="1" applyAlignment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6" fillId="3" borderId="6" xfId="0" applyNumberFormat="1" applyFont="1" applyFill="1" applyBorder="1" applyAlignment="1">
      <alignment horizontal="center" vertical="top"/>
    </xf>
    <xf numFmtId="165" fontId="0" fillId="3" borderId="6" xfId="0" applyNumberFormat="1" applyFont="1" applyFill="1" applyBorder="1" applyAlignment="1">
      <alignment horizontal="center" vertical="top"/>
    </xf>
    <xf numFmtId="165" fontId="5" fillId="0" borderId="0" xfId="0" applyNumberFormat="1" applyFont="1" applyAlignment="1">
      <alignment horizontal="center" vertical="top" wrapText="1"/>
    </xf>
    <xf numFmtId="165" fontId="16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/>
    </xf>
    <xf numFmtId="165" fontId="6" fillId="0" borderId="0" xfId="0" applyNumberFormat="1" applyFont="1" applyFill="1" applyAlignment="1">
      <alignment horizontal="center" vertical="top" wrapText="1"/>
    </xf>
    <xf numFmtId="165" fontId="16" fillId="0" borderId="0" xfId="0" applyNumberFormat="1" applyFont="1" applyFill="1" applyAlignment="1">
      <alignment horizontal="center" vertical="top" wrapText="1"/>
    </xf>
    <xf numFmtId="165" fontId="8" fillId="0" borderId="0" xfId="0" applyNumberFormat="1" applyFont="1" applyAlignment="1">
      <alignment horizontal="center" vertical="top"/>
    </xf>
    <xf numFmtId="0" fontId="23" fillId="0" borderId="0" xfId="0" applyFont="1"/>
    <xf numFmtId="164" fontId="23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19" fillId="0" borderId="0" xfId="0" applyFont="1" applyFill="1" applyBorder="1"/>
    <xf numFmtId="0" fontId="23" fillId="0" borderId="0" xfId="0" applyFont="1" applyFill="1" applyBorder="1"/>
    <xf numFmtId="164" fontId="19" fillId="0" borderId="0" xfId="0" applyNumberFormat="1" applyFont="1" applyFill="1" applyBorder="1"/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center" vertical="top"/>
    </xf>
    <xf numFmtId="164" fontId="16" fillId="0" borderId="0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165" fontId="5" fillId="0" borderId="0" xfId="0" applyNumberFormat="1" applyFont="1" applyAlignment="1">
      <alignment horizontal="center" vertical="top" wrapText="1"/>
    </xf>
    <xf numFmtId="165" fontId="5" fillId="3" borderId="0" xfId="0" applyNumberFormat="1" applyFont="1" applyFill="1" applyAlignment="1">
      <alignment horizontal="center" vertical="top" wrapText="1"/>
    </xf>
    <xf numFmtId="164" fontId="5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165" fontId="31" fillId="0" borderId="0" xfId="0" applyNumberFormat="1" applyFont="1" applyAlignment="1">
      <alignment horizontal="center" vertical="top"/>
    </xf>
    <xf numFmtId="164" fontId="6" fillId="3" borderId="0" xfId="0" applyNumberFormat="1" applyFont="1" applyFill="1" applyAlignment="1">
      <alignment horizontal="center" vertical="top"/>
    </xf>
    <xf numFmtId="164" fontId="5" fillId="3" borderId="0" xfId="0" applyNumberFormat="1" applyFont="1" applyFill="1" applyAlignment="1">
      <alignment horizontal="center" vertical="top"/>
    </xf>
    <xf numFmtId="165" fontId="5" fillId="0" borderId="0" xfId="0" applyNumberFormat="1" applyFont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top" wrapText="1"/>
    </xf>
    <xf numFmtId="164" fontId="20" fillId="0" borderId="0" xfId="0" applyNumberFormat="1" applyFont="1" applyAlignment="1">
      <alignment horizontal="center" vertical="top" wrapText="1"/>
    </xf>
    <xf numFmtId="165" fontId="29" fillId="0" borderId="0" xfId="0" applyNumberFormat="1" applyFont="1" applyAlignment="1">
      <alignment horizontal="center" vertical="top" wrapText="1"/>
    </xf>
    <xf numFmtId="165" fontId="20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165" fontId="5" fillId="0" borderId="0" xfId="0" applyNumberFormat="1" applyFont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Alignment="1">
      <alignment horizontal="left" vertical="top"/>
    </xf>
    <xf numFmtId="0" fontId="23" fillId="0" borderId="0" xfId="0" quotePrefix="1" applyFont="1" applyFill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164" fontId="13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165" fontId="16" fillId="0" borderId="0" xfId="0" applyNumberFormat="1" applyFont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top" wrapText="1"/>
    </xf>
    <xf numFmtId="165" fontId="16" fillId="3" borderId="0" xfId="0" applyNumberFormat="1" applyFont="1" applyFill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R53"/>
  <sheetViews>
    <sheetView tabSelected="1" workbookViewId="0">
      <pane xSplit="1" ySplit="6" topLeftCell="KB7" activePane="bottomRight" state="frozen"/>
      <selection pane="topRight" activeCell="B1" sqref="B1"/>
      <selection pane="bottomLeft" activeCell="A6" sqref="A6"/>
      <selection pane="bottomRight" activeCell="KU13" sqref="KU13"/>
    </sheetView>
  </sheetViews>
  <sheetFormatPr defaultColWidth="11.42578125" defaultRowHeight="15.75"/>
  <cols>
    <col min="1" max="1" width="49" style="1" customWidth="1"/>
    <col min="2" max="12" width="10.85546875" style="7" customWidth="1"/>
    <col min="13" max="39" width="10.5703125" style="7" customWidth="1"/>
    <col min="40" max="40" width="10.28515625" style="7" customWidth="1"/>
    <col min="41" max="42" width="10.5703125" style="7" customWidth="1"/>
    <col min="43" max="43" width="10.7109375" style="7" customWidth="1"/>
    <col min="44" max="44" width="10.5703125" style="7" customWidth="1"/>
    <col min="45" max="47" width="11.140625" style="7" customWidth="1"/>
    <col min="48" max="48" width="11" style="7" customWidth="1"/>
    <col min="49" max="62" width="11.140625" style="7" customWidth="1"/>
    <col min="63" max="63" width="10" style="7" customWidth="1"/>
    <col min="64" max="69" width="11.140625" style="7" customWidth="1"/>
    <col min="70" max="70" width="10.42578125" style="7" customWidth="1"/>
    <col min="71" max="78" width="10.7109375" style="7" customWidth="1"/>
    <col min="79" max="79" width="11.28515625" style="7" customWidth="1"/>
    <col min="80" max="80" width="11" style="17" customWidth="1"/>
    <col min="81" max="81" width="11.42578125" style="17" customWidth="1"/>
    <col min="82" max="93" width="10.7109375" style="17" customWidth="1"/>
    <col min="94" max="94" width="10.28515625" style="17" customWidth="1"/>
    <col min="95" max="103" width="10.7109375" style="17" customWidth="1"/>
    <col min="104" max="104" width="11.85546875" style="1" customWidth="1"/>
    <col min="105" max="105" width="11.42578125" style="1"/>
    <col min="106" max="125" width="11.28515625" style="1" customWidth="1"/>
    <col min="126" max="133" width="11.28515625" style="8" customWidth="1"/>
    <col min="134" max="134" width="10.5703125" style="8" customWidth="1"/>
    <col min="135" max="135" width="11.28515625" style="8" customWidth="1"/>
    <col min="136" max="136" width="10.140625" style="8" customWidth="1"/>
    <col min="137" max="137" width="11.28515625" style="8" customWidth="1"/>
    <col min="138" max="138" width="10" style="8" customWidth="1"/>
    <col min="139" max="139" width="11.28515625" style="8" customWidth="1"/>
    <col min="140" max="140" width="10.42578125" style="8" customWidth="1"/>
    <col min="141" max="155" width="10.7109375" style="8" customWidth="1"/>
    <col min="156" max="156" width="11.7109375" style="8" customWidth="1"/>
    <col min="157" max="157" width="10.7109375" style="8" customWidth="1"/>
    <col min="158" max="303" width="10.7109375" style="23" customWidth="1"/>
    <col min="304" max="304" width="50" style="1" customWidth="1"/>
    <col min="305" max="16384" width="11.42578125" style="1"/>
  </cols>
  <sheetData>
    <row r="1" spans="1:408" ht="18.75">
      <c r="A1" s="315" t="s">
        <v>306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  <c r="FS1" s="315"/>
      <c r="FT1" s="315"/>
      <c r="FU1" s="315"/>
      <c r="FV1" s="315"/>
      <c r="FW1" s="315"/>
      <c r="FX1" s="315"/>
      <c r="FY1" s="315"/>
      <c r="FZ1" s="315"/>
      <c r="GA1" s="315"/>
      <c r="GB1" s="315"/>
      <c r="GC1" s="315"/>
      <c r="GD1" s="315"/>
      <c r="GE1" s="315"/>
      <c r="GF1" s="315"/>
      <c r="GG1" s="315"/>
      <c r="GH1" s="315"/>
      <c r="GI1" s="315"/>
      <c r="GJ1" s="315"/>
      <c r="GK1" s="315"/>
      <c r="GL1" s="315"/>
      <c r="GM1" s="315"/>
      <c r="GN1" s="315"/>
      <c r="GO1" s="315"/>
      <c r="GP1" s="315"/>
      <c r="GQ1" s="315"/>
      <c r="GR1" s="315"/>
      <c r="GS1" s="315"/>
      <c r="GT1" s="315"/>
      <c r="GU1" s="315"/>
      <c r="GV1" s="315"/>
      <c r="GW1" s="315"/>
      <c r="GX1" s="315"/>
      <c r="GY1" s="315"/>
      <c r="GZ1" s="315"/>
      <c r="HA1" s="315"/>
      <c r="HB1" s="315"/>
      <c r="HC1" s="315"/>
      <c r="HD1" s="315"/>
      <c r="HE1" s="315"/>
      <c r="HF1" s="315"/>
      <c r="HG1" s="315"/>
      <c r="HH1" s="315"/>
      <c r="HI1" s="315"/>
      <c r="HJ1" s="315"/>
      <c r="HK1" s="315"/>
      <c r="HL1" s="315"/>
      <c r="HM1" s="315"/>
      <c r="HN1" s="315"/>
      <c r="HO1" s="315"/>
      <c r="HP1" s="315"/>
      <c r="HQ1" s="315"/>
      <c r="HR1" s="315"/>
      <c r="HS1" s="315"/>
      <c r="HT1" s="315"/>
      <c r="HU1" s="315"/>
      <c r="HV1" s="315"/>
      <c r="HW1" s="315"/>
      <c r="HX1" s="315"/>
      <c r="HY1" s="315"/>
      <c r="HZ1" s="315"/>
      <c r="IA1" s="315"/>
      <c r="IB1" s="315"/>
      <c r="IC1" s="315"/>
      <c r="ID1" s="315"/>
      <c r="IE1" s="315"/>
      <c r="IF1" s="315"/>
      <c r="IG1" s="315"/>
      <c r="IH1" s="315"/>
      <c r="II1" s="315"/>
      <c r="IJ1" s="315"/>
      <c r="IK1" s="315"/>
      <c r="IL1" s="315"/>
      <c r="IM1" s="315"/>
      <c r="IN1" s="315"/>
      <c r="IO1" s="315"/>
      <c r="IP1" s="315"/>
      <c r="IQ1" s="315"/>
      <c r="IR1" s="315"/>
      <c r="IS1" s="315"/>
      <c r="IT1" s="315"/>
      <c r="IU1" s="315"/>
      <c r="IV1" s="315"/>
      <c r="IW1" s="315"/>
      <c r="IX1" s="315"/>
      <c r="IY1" s="315"/>
      <c r="IZ1" s="315"/>
      <c r="JA1" s="315"/>
      <c r="JB1" s="315"/>
      <c r="JC1" s="315"/>
      <c r="JD1" s="315"/>
      <c r="JE1" s="315"/>
      <c r="JF1" s="315"/>
      <c r="JG1" s="315"/>
      <c r="JH1" s="315"/>
      <c r="JI1" s="315"/>
      <c r="JJ1" s="315"/>
      <c r="JK1" s="315"/>
      <c r="JL1" s="315"/>
      <c r="JM1" s="315"/>
      <c r="JN1" s="315"/>
      <c r="JO1" s="315"/>
      <c r="JP1" s="315"/>
      <c r="JQ1" s="315"/>
      <c r="JR1" s="315"/>
      <c r="JS1" s="315"/>
      <c r="JT1" s="315"/>
      <c r="JU1" s="315"/>
      <c r="JV1" s="315"/>
      <c r="JW1" s="315"/>
      <c r="JX1" s="315"/>
      <c r="JY1" s="315"/>
      <c r="JZ1" s="315"/>
      <c r="KA1" s="315"/>
      <c r="KB1" s="315"/>
      <c r="KC1" s="315"/>
      <c r="KD1" s="315"/>
      <c r="KE1" s="315"/>
      <c r="KF1" s="315"/>
      <c r="KG1" s="315"/>
      <c r="KH1" s="315"/>
      <c r="KI1" s="315"/>
      <c r="KJ1" s="315"/>
      <c r="KK1" s="315"/>
      <c r="KL1" s="315"/>
      <c r="KM1" s="315"/>
      <c r="KN1" s="315"/>
      <c r="KO1" s="315"/>
      <c r="KP1" s="315"/>
      <c r="KQ1" s="315"/>
      <c r="KR1" s="315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</row>
    <row r="2" spans="1:408" s="2" customFormat="1" ht="18.75" customHeight="1">
      <c r="A2" s="315" t="s">
        <v>359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  <c r="FF2" s="315"/>
      <c r="FG2" s="315"/>
      <c r="FH2" s="315"/>
      <c r="FI2" s="315"/>
      <c r="FJ2" s="315"/>
      <c r="FK2" s="315"/>
      <c r="FL2" s="315"/>
      <c r="FM2" s="315"/>
      <c r="FN2" s="315"/>
      <c r="FO2" s="315"/>
      <c r="FP2" s="315"/>
      <c r="FQ2" s="315"/>
      <c r="FR2" s="315"/>
      <c r="FS2" s="315"/>
      <c r="FT2" s="315"/>
      <c r="FU2" s="315"/>
      <c r="FV2" s="315"/>
      <c r="FW2" s="315"/>
      <c r="FX2" s="315"/>
      <c r="FY2" s="315"/>
      <c r="FZ2" s="315"/>
      <c r="GA2" s="315"/>
      <c r="GB2" s="315"/>
      <c r="GC2" s="315"/>
      <c r="GD2" s="315"/>
      <c r="GE2" s="315"/>
      <c r="GF2" s="315"/>
      <c r="GG2" s="315"/>
      <c r="GH2" s="315"/>
      <c r="GI2" s="315"/>
      <c r="GJ2" s="315"/>
      <c r="GK2" s="315"/>
      <c r="GL2" s="315"/>
      <c r="GM2" s="315"/>
      <c r="GN2" s="315"/>
      <c r="GO2" s="315"/>
      <c r="GP2" s="315"/>
      <c r="GQ2" s="315"/>
      <c r="GR2" s="315"/>
      <c r="GS2" s="315"/>
      <c r="GT2" s="315"/>
      <c r="GU2" s="315"/>
      <c r="GV2" s="315"/>
      <c r="GW2" s="315"/>
      <c r="GX2" s="315"/>
      <c r="GY2" s="315"/>
      <c r="GZ2" s="315"/>
      <c r="HA2" s="315"/>
      <c r="HB2" s="315"/>
      <c r="HC2" s="315"/>
      <c r="HD2" s="315"/>
      <c r="HE2" s="315"/>
      <c r="HF2" s="315"/>
      <c r="HG2" s="315"/>
      <c r="HH2" s="315"/>
      <c r="HI2" s="315"/>
      <c r="HJ2" s="315"/>
      <c r="HK2" s="315"/>
      <c r="HL2" s="315"/>
      <c r="HM2" s="315"/>
      <c r="HN2" s="315"/>
      <c r="HO2" s="315"/>
      <c r="HP2" s="315"/>
      <c r="HQ2" s="315"/>
      <c r="HR2" s="315"/>
      <c r="HS2" s="315"/>
      <c r="HT2" s="315"/>
      <c r="HU2" s="315"/>
      <c r="HV2" s="315"/>
      <c r="HW2" s="315"/>
      <c r="HX2" s="315"/>
      <c r="HY2" s="315"/>
      <c r="HZ2" s="315"/>
      <c r="IA2" s="315"/>
      <c r="IB2" s="315"/>
      <c r="IC2" s="315"/>
      <c r="ID2" s="315"/>
      <c r="IE2" s="315"/>
      <c r="IF2" s="315"/>
      <c r="IG2" s="315"/>
      <c r="IH2" s="315"/>
      <c r="II2" s="315"/>
      <c r="IJ2" s="315"/>
      <c r="IK2" s="315"/>
      <c r="IL2" s="315"/>
      <c r="IM2" s="315"/>
      <c r="IN2" s="315"/>
      <c r="IO2" s="315"/>
      <c r="IP2" s="315"/>
      <c r="IQ2" s="315"/>
      <c r="IR2" s="315"/>
      <c r="IS2" s="315"/>
      <c r="IT2" s="315"/>
      <c r="IU2" s="315"/>
      <c r="IV2" s="315"/>
      <c r="IW2" s="315"/>
      <c r="IX2" s="315"/>
      <c r="IY2" s="315"/>
      <c r="IZ2" s="315"/>
      <c r="JA2" s="315"/>
      <c r="JB2" s="315"/>
      <c r="JC2" s="315"/>
      <c r="JD2" s="315"/>
      <c r="JE2" s="315"/>
      <c r="JF2" s="315"/>
      <c r="JG2" s="315"/>
      <c r="JH2" s="315"/>
      <c r="JI2" s="315"/>
      <c r="JJ2" s="315"/>
      <c r="JK2" s="315"/>
      <c r="JL2" s="315"/>
      <c r="JM2" s="315"/>
      <c r="JN2" s="315"/>
      <c r="JO2" s="315"/>
      <c r="JP2" s="315"/>
      <c r="JQ2" s="315"/>
      <c r="JR2" s="315"/>
      <c r="JS2" s="315"/>
      <c r="JT2" s="315"/>
      <c r="JU2" s="315"/>
      <c r="JV2" s="315"/>
      <c r="JW2" s="315"/>
      <c r="JX2" s="315"/>
      <c r="JY2" s="315"/>
      <c r="JZ2" s="315"/>
      <c r="KA2" s="315"/>
      <c r="KB2" s="315"/>
      <c r="KC2" s="315"/>
      <c r="KD2" s="315"/>
      <c r="KE2" s="315"/>
      <c r="KF2" s="315"/>
      <c r="KG2" s="315"/>
      <c r="KH2" s="315"/>
      <c r="KI2" s="315"/>
      <c r="KJ2" s="315"/>
      <c r="KK2" s="315"/>
      <c r="KL2" s="315"/>
      <c r="KM2" s="315"/>
      <c r="KN2" s="315"/>
      <c r="KO2" s="315"/>
      <c r="KP2" s="315"/>
      <c r="KQ2" s="315"/>
      <c r="KR2" s="315"/>
    </row>
    <row r="3" spans="1:408">
      <c r="A3" s="9"/>
      <c r="CZ3" s="10"/>
      <c r="KR3" s="10"/>
    </row>
    <row r="4" spans="1:408" ht="16.5" customHeight="1">
      <c r="A4" s="3"/>
      <c r="B4" s="318">
        <v>2011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20"/>
      <c r="AB4" s="318">
        <v>2012</v>
      </c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20"/>
      <c r="BB4" s="322">
        <v>2013</v>
      </c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4"/>
      <c r="CB4" s="327">
        <v>2014</v>
      </c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7">
        <v>2015</v>
      </c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32"/>
      <c r="EB4" s="318">
        <v>2016</v>
      </c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20"/>
      <c r="FB4" s="336">
        <v>2017</v>
      </c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  <c r="FP4" s="337"/>
      <c r="FQ4" s="337"/>
      <c r="FR4" s="337"/>
      <c r="FS4" s="337"/>
      <c r="FT4" s="337"/>
      <c r="FU4" s="337"/>
      <c r="FV4" s="337"/>
      <c r="FW4" s="337"/>
      <c r="FX4" s="337"/>
      <c r="FY4" s="337"/>
      <c r="FZ4" s="337"/>
      <c r="GA4" s="338"/>
      <c r="GB4" s="318">
        <v>2018</v>
      </c>
      <c r="GC4" s="319"/>
      <c r="GD4" s="319"/>
      <c r="GE4" s="319"/>
      <c r="GF4" s="319"/>
      <c r="GG4" s="319"/>
      <c r="GH4" s="319"/>
      <c r="GI4" s="319"/>
      <c r="GJ4" s="319"/>
      <c r="GK4" s="319"/>
      <c r="GL4" s="319"/>
      <c r="GM4" s="319"/>
      <c r="GN4" s="319"/>
      <c r="GO4" s="319"/>
      <c r="GP4" s="319"/>
      <c r="GQ4" s="319"/>
      <c r="GR4" s="319"/>
      <c r="GS4" s="319"/>
      <c r="GT4" s="319"/>
      <c r="GU4" s="319"/>
      <c r="GV4" s="319"/>
      <c r="GW4" s="319"/>
      <c r="GX4" s="319"/>
      <c r="GY4" s="319"/>
      <c r="GZ4" s="319"/>
      <c r="HA4" s="320"/>
      <c r="HB4" s="318">
        <v>2019</v>
      </c>
      <c r="HC4" s="319"/>
      <c r="HD4" s="319"/>
      <c r="HE4" s="319"/>
      <c r="HF4" s="319"/>
      <c r="HG4" s="319"/>
      <c r="HH4" s="319"/>
      <c r="HI4" s="319"/>
      <c r="HJ4" s="319"/>
      <c r="HK4" s="319"/>
      <c r="HL4" s="319"/>
      <c r="HM4" s="319"/>
      <c r="HN4" s="319"/>
      <c r="HO4" s="319"/>
      <c r="HP4" s="319"/>
      <c r="HQ4" s="319"/>
      <c r="HR4" s="319"/>
      <c r="HS4" s="319"/>
      <c r="HT4" s="319"/>
      <c r="HU4" s="319"/>
      <c r="HV4" s="319"/>
      <c r="HW4" s="319"/>
      <c r="HX4" s="319"/>
      <c r="HY4" s="319"/>
      <c r="HZ4" s="319"/>
      <c r="IA4" s="320"/>
      <c r="IB4" s="339">
        <v>2020</v>
      </c>
      <c r="IC4" s="340"/>
      <c r="ID4" s="340"/>
      <c r="IE4" s="340"/>
      <c r="IF4" s="340"/>
      <c r="IG4" s="340"/>
      <c r="IH4" s="340"/>
      <c r="II4" s="340"/>
      <c r="IJ4" s="340"/>
      <c r="IK4" s="340"/>
      <c r="IL4" s="340"/>
      <c r="IM4" s="340"/>
      <c r="IN4" s="340"/>
      <c r="IO4" s="340"/>
      <c r="IP4" s="340"/>
      <c r="IQ4" s="340"/>
      <c r="IR4" s="340"/>
      <c r="IS4" s="340"/>
      <c r="IT4" s="340"/>
      <c r="IU4" s="340"/>
      <c r="IV4" s="340"/>
      <c r="IW4" s="340"/>
      <c r="IX4" s="340"/>
      <c r="IY4" s="340"/>
      <c r="IZ4" s="340"/>
      <c r="JA4" s="341"/>
      <c r="JB4" s="342">
        <v>2021</v>
      </c>
      <c r="JC4" s="343"/>
      <c r="JD4" s="343"/>
      <c r="JE4" s="343"/>
      <c r="JF4" s="343"/>
      <c r="JG4" s="343"/>
      <c r="JH4" s="343"/>
      <c r="JI4" s="343"/>
      <c r="JJ4" s="343"/>
      <c r="JK4" s="343"/>
      <c r="JL4" s="343"/>
      <c r="JM4" s="343"/>
      <c r="JN4" s="343"/>
      <c r="JO4" s="343"/>
      <c r="JP4" s="343"/>
      <c r="JQ4" s="343"/>
      <c r="JR4" s="343"/>
      <c r="JS4" s="343"/>
      <c r="JT4" s="343"/>
      <c r="JU4" s="343"/>
      <c r="JV4" s="343"/>
      <c r="JW4" s="343"/>
      <c r="JX4" s="343"/>
      <c r="JY4" s="343"/>
      <c r="JZ4" s="343"/>
      <c r="KA4" s="344"/>
      <c r="KB4" s="237"/>
      <c r="KC4" s="239"/>
      <c r="KD4" s="240"/>
      <c r="KE4" s="240"/>
      <c r="KF4" s="241"/>
      <c r="KG4" s="241"/>
      <c r="KH4" s="244"/>
      <c r="KI4" s="244"/>
      <c r="KJ4" s="247"/>
      <c r="KK4" s="247"/>
      <c r="KL4" s="272"/>
      <c r="KM4" s="272"/>
      <c r="KN4" s="279"/>
      <c r="KO4" s="279"/>
      <c r="KP4" s="239"/>
      <c r="KQ4" s="238"/>
      <c r="KR4" s="11"/>
    </row>
    <row r="5" spans="1:408" ht="13.5" customHeight="1">
      <c r="A5" s="4"/>
      <c r="B5" s="316" t="s">
        <v>18</v>
      </c>
      <c r="C5" s="14" t="s">
        <v>19</v>
      </c>
      <c r="D5" s="316" t="s">
        <v>7</v>
      </c>
      <c r="E5" s="14" t="s">
        <v>21</v>
      </c>
      <c r="F5" s="316" t="s">
        <v>0</v>
      </c>
      <c r="G5" s="14" t="s">
        <v>23</v>
      </c>
      <c r="H5" s="316" t="s">
        <v>15</v>
      </c>
      <c r="I5" s="14" t="s">
        <v>25</v>
      </c>
      <c r="J5" s="316" t="s">
        <v>8</v>
      </c>
      <c r="K5" s="14" t="s">
        <v>27</v>
      </c>
      <c r="L5" s="316" t="s">
        <v>9</v>
      </c>
      <c r="M5" s="14" t="s">
        <v>29</v>
      </c>
      <c r="N5" s="316" t="s">
        <v>10</v>
      </c>
      <c r="O5" s="14" t="s">
        <v>31</v>
      </c>
      <c r="P5" s="316" t="s">
        <v>2</v>
      </c>
      <c r="Q5" s="14" t="s">
        <v>33</v>
      </c>
      <c r="R5" s="316" t="s">
        <v>3</v>
      </c>
      <c r="S5" s="14" t="s">
        <v>35</v>
      </c>
      <c r="T5" s="316" t="s">
        <v>17</v>
      </c>
      <c r="U5" s="14" t="s">
        <v>37</v>
      </c>
      <c r="V5" s="316" t="s">
        <v>12</v>
      </c>
      <c r="W5" s="14" t="s">
        <v>39</v>
      </c>
      <c r="X5" s="316" t="s">
        <v>5</v>
      </c>
      <c r="Y5" s="14" t="s">
        <v>41</v>
      </c>
      <c r="Z5" s="329" t="s">
        <v>6</v>
      </c>
      <c r="AA5" s="16" t="s">
        <v>43</v>
      </c>
      <c r="AB5" s="321" t="s">
        <v>18</v>
      </c>
      <c r="AC5" s="14" t="s">
        <v>45</v>
      </c>
      <c r="AD5" s="321" t="s">
        <v>7</v>
      </c>
      <c r="AE5" s="14" t="s">
        <v>47</v>
      </c>
      <c r="AF5" s="321" t="s">
        <v>0</v>
      </c>
      <c r="AG5" s="14" t="s">
        <v>49</v>
      </c>
      <c r="AH5" s="321" t="s">
        <v>15</v>
      </c>
      <c r="AI5" s="14" t="s">
        <v>51</v>
      </c>
      <c r="AJ5" s="321" t="s">
        <v>8</v>
      </c>
      <c r="AK5" s="14" t="s">
        <v>53</v>
      </c>
      <c r="AL5" s="321" t="s">
        <v>1</v>
      </c>
      <c r="AM5" s="14" t="s">
        <v>55</v>
      </c>
      <c r="AN5" s="321" t="s">
        <v>10</v>
      </c>
      <c r="AO5" s="14" t="s">
        <v>57</v>
      </c>
      <c r="AP5" s="321" t="s">
        <v>11</v>
      </c>
      <c r="AQ5" s="14" t="s">
        <v>59</v>
      </c>
      <c r="AR5" s="321" t="s">
        <v>16</v>
      </c>
      <c r="AS5" s="14" t="s">
        <v>61</v>
      </c>
      <c r="AT5" s="321" t="s">
        <v>4</v>
      </c>
      <c r="AU5" s="14" t="s">
        <v>63</v>
      </c>
      <c r="AV5" s="321" t="s">
        <v>12</v>
      </c>
      <c r="AW5" s="14" t="s">
        <v>65</v>
      </c>
      <c r="AX5" s="321" t="s">
        <v>13</v>
      </c>
      <c r="AY5" s="14" t="s">
        <v>67</v>
      </c>
      <c r="AZ5" s="329" t="s">
        <v>14</v>
      </c>
      <c r="BA5" s="16" t="s">
        <v>69</v>
      </c>
      <c r="BB5" s="321" t="s">
        <v>123</v>
      </c>
      <c r="BC5" s="14" t="s">
        <v>71</v>
      </c>
      <c r="BD5" s="321" t="s">
        <v>124</v>
      </c>
      <c r="BE5" s="14" t="s">
        <v>73</v>
      </c>
      <c r="BF5" s="321" t="s">
        <v>125</v>
      </c>
      <c r="BG5" s="14" t="s">
        <v>75</v>
      </c>
      <c r="BH5" s="321" t="s">
        <v>15</v>
      </c>
      <c r="BI5" s="14" t="s">
        <v>77</v>
      </c>
      <c r="BJ5" s="321" t="s">
        <v>8</v>
      </c>
      <c r="BK5" s="14" t="s">
        <v>79</v>
      </c>
      <c r="BL5" s="321" t="s">
        <v>9</v>
      </c>
      <c r="BM5" s="14" t="s">
        <v>81</v>
      </c>
      <c r="BN5" s="321" t="s">
        <v>10</v>
      </c>
      <c r="BO5" s="14" t="s">
        <v>83</v>
      </c>
      <c r="BP5" s="321" t="s">
        <v>126</v>
      </c>
      <c r="BQ5" s="14" t="s">
        <v>85</v>
      </c>
      <c r="BR5" s="321" t="s">
        <v>127</v>
      </c>
      <c r="BS5" s="14" t="s">
        <v>87</v>
      </c>
      <c r="BT5" s="321" t="s">
        <v>17</v>
      </c>
      <c r="BU5" s="14" t="s">
        <v>89</v>
      </c>
      <c r="BV5" s="321" t="s">
        <v>128</v>
      </c>
      <c r="BW5" s="14" t="s">
        <v>91</v>
      </c>
      <c r="BX5" s="321" t="s">
        <v>13</v>
      </c>
      <c r="BY5" s="14" t="s">
        <v>93</v>
      </c>
      <c r="BZ5" s="313" t="s">
        <v>129</v>
      </c>
      <c r="CA5" s="16" t="s">
        <v>95</v>
      </c>
      <c r="CB5" s="311" t="s">
        <v>172</v>
      </c>
      <c r="CC5" s="18" t="s">
        <v>97</v>
      </c>
      <c r="CD5" s="311" t="s">
        <v>185</v>
      </c>
      <c r="CE5" s="18" t="s">
        <v>99</v>
      </c>
      <c r="CF5" s="311" t="s">
        <v>0</v>
      </c>
      <c r="CG5" s="18" t="s">
        <v>101</v>
      </c>
      <c r="CH5" s="311" t="s">
        <v>184</v>
      </c>
      <c r="CI5" s="18" t="s">
        <v>103</v>
      </c>
      <c r="CJ5" s="311" t="s">
        <v>183</v>
      </c>
      <c r="CK5" s="18" t="s">
        <v>105</v>
      </c>
      <c r="CL5" s="311" t="s">
        <v>1</v>
      </c>
      <c r="CM5" s="18" t="s">
        <v>107</v>
      </c>
      <c r="CN5" s="311" t="s">
        <v>10</v>
      </c>
      <c r="CO5" s="18" t="s">
        <v>109</v>
      </c>
      <c r="CP5" s="311" t="s">
        <v>2</v>
      </c>
      <c r="CQ5" s="18" t="s">
        <v>111</v>
      </c>
      <c r="CR5" s="311" t="s">
        <v>3</v>
      </c>
      <c r="CS5" s="18" t="s">
        <v>113</v>
      </c>
      <c r="CT5" s="311" t="s">
        <v>17</v>
      </c>
      <c r="CU5" s="18" t="s">
        <v>115</v>
      </c>
      <c r="CV5" s="311" t="s">
        <v>182</v>
      </c>
      <c r="CW5" s="18" t="s">
        <v>117</v>
      </c>
      <c r="CX5" s="311" t="s">
        <v>13</v>
      </c>
      <c r="CY5" s="18" t="s">
        <v>130</v>
      </c>
      <c r="CZ5" s="313" t="s">
        <v>14</v>
      </c>
      <c r="DA5" s="16" t="s">
        <v>131</v>
      </c>
      <c r="DB5" s="311" t="s">
        <v>18</v>
      </c>
      <c r="DC5" s="18" t="s">
        <v>134</v>
      </c>
      <c r="DD5" s="311" t="s">
        <v>7</v>
      </c>
      <c r="DE5" s="18" t="s">
        <v>136</v>
      </c>
      <c r="DF5" s="311" t="s">
        <v>156</v>
      </c>
      <c r="DG5" s="18" t="s">
        <v>138</v>
      </c>
      <c r="DH5" s="311" t="s">
        <v>15</v>
      </c>
      <c r="DI5" s="18" t="s">
        <v>140</v>
      </c>
      <c r="DJ5" s="311" t="s">
        <v>8</v>
      </c>
      <c r="DK5" s="18" t="s">
        <v>142</v>
      </c>
      <c r="DL5" s="311" t="s">
        <v>1</v>
      </c>
      <c r="DM5" s="18" t="s">
        <v>144</v>
      </c>
      <c r="DN5" s="311" t="s">
        <v>181</v>
      </c>
      <c r="DO5" s="18" t="s">
        <v>146</v>
      </c>
      <c r="DP5" s="311" t="s">
        <v>11</v>
      </c>
      <c r="DQ5" s="18" t="s">
        <v>148</v>
      </c>
      <c r="DR5" s="311" t="s">
        <v>127</v>
      </c>
      <c r="DS5" s="18" t="s">
        <v>150</v>
      </c>
      <c r="DT5" s="311" t="s">
        <v>17</v>
      </c>
      <c r="DU5" s="18" t="s">
        <v>152</v>
      </c>
      <c r="DV5" s="311" t="s">
        <v>12</v>
      </c>
      <c r="DW5" s="18" t="s">
        <v>154</v>
      </c>
      <c r="DX5" s="311" t="s">
        <v>13</v>
      </c>
      <c r="DY5" s="18" t="s">
        <v>157</v>
      </c>
      <c r="DZ5" s="313" t="s">
        <v>6</v>
      </c>
      <c r="EA5" s="16" t="s">
        <v>159</v>
      </c>
      <c r="EB5" s="311" t="s">
        <v>18</v>
      </c>
      <c r="EC5" s="18" t="s">
        <v>161</v>
      </c>
      <c r="ED5" s="311" t="s">
        <v>7</v>
      </c>
      <c r="EE5" s="18" t="s">
        <v>163</v>
      </c>
      <c r="EF5" s="311" t="s">
        <v>156</v>
      </c>
      <c r="EG5" s="18" t="s">
        <v>165</v>
      </c>
      <c r="EH5" s="311" t="s">
        <v>15</v>
      </c>
      <c r="EI5" s="18" t="s">
        <v>167</v>
      </c>
      <c r="EJ5" s="311" t="s">
        <v>8</v>
      </c>
      <c r="EK5" s="18" t="s">
        <v>170</v>
      </c>
      <c r="EL5" s="311" t="s">
        <v>1</v>
      </c>
      <c r="EM5" s="18" t="s">
        <v>173</v>
      </c>
      <c r="EN5" s="311" t="s">
        <v>10</v>
      </c>
      <c r="EO5" s="18" t="s">
        <v>175</v>
      </c>
      <c r="EP5" s="311" t="s">
        <v>11</v>
      </c>
      <c r="EQ5" s="18" t="s">
        <v>177</v>
      </c>
      <c r="ER5" s="311" t="s">
        <v>3</v>
      </c>
      <c r="ES5" s="18" t="s">
        <v>179</v>
      </c>
      <c r="ET5" s="311" t="s">
        <v>17</v>
      </c>
      <c r="EU5" s="18" t="s">
        <v>186</v>
      </c>
      <c r="EV5" s="311" t="s">
        <v>12</v>
      </c>
      <c r="EW5" s="18" t="s">
        <v>188</v>
      </c>
      <c r="EX5" s="311" t="s">
        <v>5</v>
      </c>
      <c r="EY5" s="18" t="s">
        <v>190</v>
      </c>
      <c r="EZ5" s="325" t="s">
        <v>14</v>
      </c>
      <c r="FA5" s="21" t="s">
        <v>192</v>
      </c>
      <c r="FB5" s="311" t="s">
        <v>18</v>
      </c>
      <c r="FC5" s="18" t="s">
        <v>194</v>
      </c>
      <c r="FD5" s="311" t="s">
        <v>7</v>
      </c>
      <c r="FE5" s="18" t="s">
        <v>196</v>
      </c>
      <c r="FF5" s="311" t="s">
        <v>203</v>
      </c>
      <c r="FG5" s="18" t="s">
        <v>198</v>
      </c>
      <c r="FH5" s="311" t="s">
        <v>202</v>
      </c>
      <c r="FI5" s="18" t="s">
        <v>200</v>
      </c>
      <c r="FJ5" s="311" t="s">
        <v>8</v>
      </c>
      <c r="FK5" s="18" t="s">
        <v>200</v>
      </c>
      <c r="FL5" s="311" t="s">
        <v>9</v>
      </c>
      <c r="FM5" s="18" t="s">
        <v>204</v>
      </c>
      <c r="FN5" s="311" t="s">
        <v>10</v>
      </c>
      <c r="FO5" s="18" t="s">
        <v>206</v>
      </c>
      <c r="FP5" s="311" t="s">
        <v>11</v>
      </c>
      <c r="FQ5" s="18" t="s">
        <v>208</v>
      </c>
      <c r="FR5" s="311" t="s">
        <v>3</v>
      </c>
      <c r="FS5" s="18" t="s">
        <v>210</v>
      </c>
      <c r="FT5" s="311" t="s">
        <v>4</v>
      </c>
      <c r="FU5" s="18" t="s">
        <v>212</v>
      </c>
      <c r="FV5" s="311" t="s">
        <v>12</v>
      </c>
      <c r="FW5" s="18" t="s">
        <v>214</v>
      </c>
      <c r="FX5" s="331" t="s">
        <v>256</v>
      </c>
      <c r="FY5" s="18" t="s">
        <v>216</v>
      </c>
      <c r="FZ5" s="325" t="s">
        <v>14</v>
      </c>
      <c r="GA5" s="21" t="s">
        <v>218</v>
      </c>
      <c r="GB5" s="331" t="s">
        <v>172</v>
      </c>
      <c r="GC5" s="18" t="s">
        <v>220</v>
      </c>
      <c r="GD5" s="331" t="s">
        <v>257</v>
      </c>
      <c r="GE5" s="18" t="s">
        <v>221</v>
      </c>
      <c r="GF5" s="331" t="s">
        <v>258</v>
      </c>
      <c r="GG5" s="18" t="s">
        <v>224</v>
      </c>
      <c r="GH5" s="331" t="s">
        <v>184</v>
      </c>
      <c r="GI5" s="18" t="s">
        <v>226</v>
      </c>
      <c r="GJ5" s="331" t="s">
        <v>183</v>
      </c>
      <c r="GK5" s="18" t="s">
        <v>229</v>
      </c>
      <c r="GL5" s="331" t="s">
        <v>259</v>
      </c>
      <c r="GM5" s="18" t="s">
        <v>230</v>
      </c>
      <c r="GN5" s="331" t="s">
        <v>260</v>
      </c>
      <c r="GO5" s="18" t="s">
        <v>232</v>
      </c>
      <c r="GP5" s="331" t="s">
        <v>261</v>
      </c>
      <c r="GQ5" s="18" t="s">
        <v>234</v>
      </c>
      <c r="GR5" s="331" t="s">
        <v>262</v>
      </c>
      <c r="GS5" s="18" t="s">
        <v>236</v>
      </c>
      <c r="GT5" s="331" t="s">
        <v>263</v>
      </c>
      <c r="GU5" s="18" t="s">
        <v>238</v>
      </c>
      <c r="GV5" s="331" t="s">
        <v>264</v>
      </c>
      <c r="GW5" s="18" t="s">
        <v>240</v>
      </c>
      <c r="GX5" s="331" t="s">
        <v>5</v>
      </c>
      <c r="GY5" s="18" t="s">
        <v>242</v>
      </c>
      <c r="GZ5" s="325" t="s">
        <v>265</v>
      </c>
      <c r="HA5" s="21" t="s">
        <v>244</v>
      </c>
      <c r="HB5" s="331" t="s">
        <v>123</v>
      </c>
      <c r="HC5" s="18" t="s">
        <v>246</v>
      </c>
      <c r="HD5" s="331" t="s">
        <v>295</v>
      </c>
      <c r="HE5" s="18" t="s">
        <v>248</v>
      </c>
      <c r="HF5" s="331" t="s">
        <v>296</v>
      </c>
      <c r="HG5" s="18" t="s">
        <v>250</v>
      </c>
      <c r="HH5" s="331" t="s">
        <v>297</v>
      </c>
      <c r="HI5" s="18" t="s">
        <v>252</v>
      </c>
      <c r="HJ5" s="331" t="s">
        <v>298</v>
      </c>
      <c r="HK5" s="18" t="s">
        <v>254</v>
      </c>
      <c r="HL5" s="331" t="s">
        <v>1</v>
      </c>
      <c r="HM5" s="18" t="s">
        <v>266</v>
      </c>
      <c r="HN5" s="331" t="s">
        <v>181</v>
      </c>
      <c r="HO5" s="18" t="s">
        <v>268</v>
      </c>
      <c r="HP5" s="331" t="s">
        <v>2</v>
      </c>
      <c r="HQ5" s="18" t="s">
        <v>270</v>
      </c>
      <c r="HR5" s="331" t="s">
        <v>3</v>
      </c>
      <c r="HS5" s="18" t="s">
        <v>272</v>
      </c>
      <c r="HT5" s="331" t="s">
        <v>4</v>
      </c>
      <c r="HU5" s="18" t="s">
        <v>275</v>
      </c>
      <c r="HV5" s="331" t="s">
        <v>182</v>
      </c>
      <c r="HW5" s="18" t="s">
        <v>276</v>
      </c>
      <c r="HX5" s="331" t="s">
        <v>290</v>
      </c>
      <c r="HY5" s="18" t="s">
        <v>278</v>
      </c>
      <c r="HZ5" s="313" t="s">
        <v>299</v>
      </c>
      <c r="IA5" s="16" t="s">
        <v>280</v>
      </c>
      <c r="IB5" s="331" t="s">
        <v>18</v>
      </c>
      <c r="IC5" s="18" t="s">
        <v>282</v>
      </c>
      <c r="ID5" s="331" t="s">
        <v>323</v>
      </c>
      <c r="IE5" s="18" t="s">
        <v>284</v>
      </c>
      <c r="IF5" s="331" t="s">
        <v>156</v>
      </c>
      <c r="IG5" s="18" t="s">
        <v>286</v>
      </c>
      <c r="IH5" s="331" t="s">
        <v>184</v>
      </c>
      <c r="II5" s="18" t="s">
        <v>288</v>
      </c>
      <c r="IJ5" s="331" t="s">
        <v>183</v>
      </c>
      <c r="IK5" s="18" t="s">
        <v>291</v>
      </c>
      <c r="IL5" s="331" t="s">
        <v>9</v>
      </c>
      <c r="IM5" s="18" t="s">
        <v>293</v>
      </c>
      <c r="IN5" s="331" t="s">
        <v>319</v>
      </c>
      <c r="IO5" s="18" t="s">
        <v>300</v>
      </c>
      <c r="IP5" s="331" t="s">
        <v>11</v>
      </c>
      <c r="IQ5" s="18" t="s">
        <v>302</v>
      </c>
      <c r="IR5" s="331" t="s">
        <v>324</v>
      </c>
      <c r="IS5" s="18" t="s">
        <v>304</v>
      </c>
      <c r="IT5" s="331" t="s">
        <v>17</v>
      </c>
      <c r="IU5" s="18" t="s">
        <v>307</v>
      </c>
      <c r="IV5" s="331" t="s">
        <v>12</v>
      </c>
      <c r="IW5" s="18" t="s">
        <v>309</v>
      </c>
      <c r="IX5" s="331" t="s">
        <v>13</v>
      </c>
      <c r="IY5" s="18" t="s">
        <v>307</v>
      </c>
      <c r="IZ5" s="325" t="s">
        <v>320</v>
      </c>
      <c r="JA5" s="21" t="s">
        <v>311</v>
      </c>
      <c r="JB5" s="331" t="s">
        <v>123</v>
      </c>
      <c r="JC5" s="18" t="s">
        <v>313</v>
      </c>
      <c r="JD5" s="331" t="s">
        <v>356</v>
      </c>
      <c r="JE5" s="18" t="s">
        <v>315</v>
      </c>
      <c r="JF5" s="331" t="s">
        <v>156</v>
      </c>
      <c r="JG5" s="18" t="s">
        <v>317</v>
      </c>
      <c r="JH5" s="285" t="s">
        <v>15</v>
      </c>
      <c r="JI5" s="18" t="s">
        <v>321</v>
      </c>
      <c r="JJ5" s="331" t="s">
        <v>8</v>
      </c>
      <c r="JK5" s="18" t="s">
        <v>327</v>
      </c>
      <c r="JL5" s="331" t="s">
        <v>9</v>
      </c>
      <c r="JM5" s="18" t="s">
        <v>339</v>
      </c>
      <c r="JN5" s="331" t="s">
        <v>10</v>
      </c>
      <c r="JO5" s="18" t="s">
        <v>341</v>
      </c>
      <c r="JP5" s="331" t="s">
        <v>11</v>
      </c>
      <c r="JQ5" s="18" t="s">
        <v>343</v>
      </c>
      <c r="JR5" s="285" t="s">
        <v>16</v>
      </c>
      <c r="JS5" s="194" t="s">
        <v>345</v>
      </c>
      <c r="JT5" s="285" t="s">
        <v>378</v>
      </c>
      <c r="JU5" s="194" t="s">
        <v>348</v>
      </c>
      <c r="JV5" s="285" t="s">
        <v>351</v>
      </c>
      <c r="JW5" s="194" t="s">
        <v>349</v>
      </c>
      <c r="JX5" s="285" t="s">
        <v>13</v>
      </c>
      <c r="JY5" s="194" t="s">
        <v>352</v>
      </c>
      <c r="JZ5" s="285" t="s">
        <v>371</v>
      </c>
      <c r="KA5" s="194" t="s">
        <v>354</v>
      </c>
      <c r="KB5" s="285" t="s">
        <v>360</v>
      </c>
      <c r="KC5" s="194" t="s">
        <v>357</v>
      </c>
      <c r="KD5" s="285" t="s">
        <v>365</v>
      </c>
      <c r="KE5" s="194" t="s">
        <v>361</v>
      </c>
      <c r="KF5" s="285" t="s">
        <v>366</v>
      </c>
      <c r="KG5" s="194" t="s">
        <v>363</v>
      </c>
      <c r="KH5" s="285" t="s">
        <v>374</v>
      </c>
      <c r="KI5" s="194" t="s">
        <v>367</v>
      </c>
      <c r="KJ5" s="285" t="s">
        <v>375</v>
      </c>
      <c r="KK5" s="194" t="s">
        <v>369</v>
      </c>
      <c r="KL5" s="285" t="s">
        <v>380</v>
      </c>
      <c r="KM5" s="194" t="s">
        <v>372</v>
      </c>
      <c r="KN5" s="285" t="s">
        <v>381</v>
      </c>
      <c r="KO5" s="194" t="s">
        <v>382</v>
      </c>
      <c r="KP5" s="285" t="s">
        <v>384</v>
      </c>
      <c r="KQ5" s="194" t="s">
        <v>385</v>
      </c>
      <c r="KR5" s="5"/>
    </row>
    <row r="6" spans="1:408">
      <c r="A6" s="6"/>
      <c r="B6" s="317"/>
      <c r="C6" s="13" t="s">
        <v>20</v>
      </c>
      <c r="D6" s="317"/>
      <c r="E6" s="13" t="s">
        <v>22</v>
      </c>
      <c r="F6" s="317"/>
      <c r="G6" s="13" t="s">
        <v>24</v>
      </c>
      <c r="H6" s="317"/>
      <c r="I6" s="13" t="s">
        <v>26</v>
      </c>
      <c r="J6" s="317"/>
      <c r="K6" s="13" t="s">
        <v>28</v>
      </c>
      <c r="L6" s="317"/>
      <c r="M6" s="13" t="s">
        <v>30</v>
      </c>
      <c r="N6" s="317"/>
      <c r="O6" s="13" t="s">
        <v>32</v>
      </c>
      <c r="P6" s="317"/>
      <c r="Q6" s="13" t="s">
        <v>34</v>
      </c>
      <c r="R6" s="317"/>
      <c r="S6" s="13" t="s">
        <v>36</v>
      </c>
      <c r="T6" s="317"/>
      <c r="U6" s="13" t="s">
        <v>38</v>
      </c>
      <c r="V6" s="317"/>
      <c r="W6" s="13" t="s">
        <v>40</v>
      </c>
      <c r="X6" s="317"/>
      <c r="Y6" s="13" t="s">
        <v>42</v>
      </c>
      <c r="Z6" s="314"/>
      <c r="AA6" s="15" t="s">
        <v>44</v>
      </c>
      <c r="AB6" s="317"/>
      <c r="AC6" s="13" t="s">
        <v>46</v>
      </c>
      <c r="AD6" s="317"/>
      <c r="AE6" s="13" t="s">
        <v>48</v>
      </c>
      <c r="AF6" s="317"/>
      <c r="AG6" s="13" t="s">
        <v>50</v>
      </c>
      <c r="AH6" s="317"/>
      <c r="AI6" s="13" t="s">
        <v>52</v>
      </c>
      <c r="AJ6" s="317"/>
      <c r="AK6" s="13" t="s">
        <v>54</v>
      </c>
      <c r="AL6" s="317"/>
      <c r="AM6" s="13" t="s">
        <v>56</v>
      </c>
      <c r="AN6" s="317"/>
      <c r="AO6" s="13" t="s">
        <v>58</v>
      </c>
      <c r="AP6" s="317"/>
      <c r="AQ6" s="13" t="s">
        <v>60</v>
      </c>
      <c r="AR6" s="317"/>
      <c r="AS6" s="13" t="s">
        <v>62</v>
      </c>
      <c r="AT6" s="317"/>
      <c r="AU6" s="13" t="s">
        <v>64</v>
      </c>
      <c r="AV6" s="317"/>
      <c r="AW6" s="13" t="s">
        <v>66</v>
      </c>
      <c r="AX6" s="317"/>
      <c r="AY6" s="13" t="s">
        <v>68</v>
      </c>
      <c r="AZ6" s="314"/>
      <c r="BA6" s="15" t="s">
        <v>70</v>
      </c>
      <c r="BB6" s="317"/>
      <c r="BC6" s="13" t="s">
        <v>72</v>
      </c>
      <c r="BD6" s="317"/>
      <c r="BE6" s="13" t="s">
        <v>74</v>
      </c>
      <c r="BF6" s="317"/>
      <c r="BG6" s="13" t="s">
        <v>76</v>
      </c>
      <c r="BH6" s="317"/>
      <c r="BI6" s="13" t="s">
        <v>78</v>
      </c>
      <c r="BJ6" s="317"/>
      <c r="BK6" s="13" t="s">
        <v>80</v>
      </c>
      <c r="BL6" s="317"/>
      <c r="BM6" s="13" t="s">
        <v>82</v>
      </c>
      <c r="BN6" s="317"/>
      <c r="BO6" s="13" t="s">
        <v>84</v>
      </c>
      <c r="BP6" s="317"/>
      <c r="BQ6" s="13" t="s">
        <v>86</v>
      </c>
      <c r="BR6" s="317"/>
      <c r="BS6" s="13" t="s">
        <v>88</v>
      </c>
      <c r="BT6" s="317"/>
      <c r="BU6" s="14" t="s">
        <v>90</v>
      </c>
      <c r="BV6" s="317"/>
      <c r="BW6" s="14" t="s">
        <v>92</v>
      </c>
      <c r="BX6" s="317"/>
      <c r="BY6" s="14" t="s">
        <v>94</v>
      </c>
      <c r="BZ6" s="314"/>
      <c r="CA6" s="16" t="s">
        <v>96</v>
      </c>
      <c r="CB6" s="312"/>
      <c r="CC6" s="19" t="s">
        <v>98</v>
      </c>
      <c r="CD6" s="312"/>
      <c r="CE6" s="19" t="s">
        <v>100</v>
      </c>
      <c r="CF6" s="312"/>
      <c r="CG6" s="19" t="s">
        <v>102</v>
      </c>
      <c r="CH6" s="312"/>
      <c r="CI6" s="19" t="s">
        <v>104</v>
      </c>
      <c r="CJ6" s="312"/>
      <c r="CK6" s="19" t="s">
        <v>106</v>
      </c>
      <c r="CL6" s="312"/>
      <c r="CM6" s="19" t="s">
        <v>108</v>
      </c>
      <c r="CN6" s="312"/>
      <c r="CO6" s="19" t="s">
        <v>110</v>
      </c>
      <c r="CP6" s="312"/>
      <c r="CQ6" s="19" t="s">
        <v>112</v>
      </c>
      <c r="CR6" s="312"/>
      <c r="CS6" s="19" t="s">
        <v>114</v>
      </c>
      <c r="CT6" s="312"/>
      <c r="CU6" s="19" t="s">
        <v>116</v>
      </c>
      <c r="CV6" s="312"/>
      <c r="CW6" s="19" t="s">
        <v>118</v>
      </c>
      <c r="CX6" s="312"/>
      <c r="CY6" s="19" t="s">
        <v>132</v>
      </c>
      <c r="CZ6" s="314"/>
      <c r="DA6" s="15" t="s">
        <v>133</v>
      </c>
      <c r="DB6" s="312"/>
      <c r="DC6" s="19" t="s">
        <v>135</v>
      </c>
      <c r="DD6" s="312"/>
      <c r="DE6" s="19" t="s">
        <v>137</v>
      </c>
      <c r="DF6" s="312"/>
      <c r="DG6" s="19" t="s">
        <v>139</v>
      </c>
      <c r="DH6" s="312"/>
      <c r="DI6" s="19" t="s">
        <v>141</v>
      </c>
      <c r="DJ6" s="312"/>
      <c r="DK6" s="19" t="s">
        <v>143</v>
      </c>
      <c r="DL6" s="312"/>
      <c r="DM6" s="19" t="s">
        <v>145</v>
      </c>
      <c r="DN6" s="312"/>
      <c r="DO6" s="19" t="s">
        <v>147</v>
      </c>
      <c r="DP6" s="312"/>
      <c r="DQ6" s="19" t="s">
        <v>149</v>
      </c>
      <c r="DR6" s="312"/>
      <c r="DS6" s="19" t="s">
        <v>151</v>
      </c>
      <c r="DT6" s="312"/>
      <c r="DU6" s="19" t="s">
        <v>153</v>
      </c>
      <c r="DV6" s="312"/>
      <c r="DW6" s="19" t="s">
        <v>155</v>
      </c>
      <c r="DX6" s="312"/>
      <c r="DY6" s="19" t="s">
        <v>158</v>
      </c>
      <c r="DZ6" s="314"/>
      <c r="EA6" s="15" t="s">
        <v>160</v>
      </c>
      <c r="EB6" s="312"/>
      <c r="EC6" s="19" t="s">
        <v>162</v>
      </c>
      <c r="ED6" s="312"/>
      <c r="EE6" s="19" t="s">
        <v>164</v>
      </c>
      <c r="EF6" s="312"/>
      <c r="EG6" s="19" t="s">
        <v>166</v>
      </c>
      <c r="EH6" s="312"/>
      <c r="EI6" s="19" t="s">
        <v>168</v>
      </c>
      <c r="EJ6" s="312"/>
      <c r="EK6" s="19" t="s">
        <v>171</v>
      </c>
      <c r="EL6" s="312"/>
      <c r="EM6" s="19" t="s">
        <v>174</v>
      </c>
      <c r="EN6" s="312"/>
      <c r="EO6" s="19" t="s">
        <v>176</v>
      </c>
      <c r="EP6" s="312"/>
      <c r="EQ6" s="19" t="s">
        <v>178</v>
      </c>
      <c r="ER6" s="312"/>
      <c r="ES6" s="19" t="s">
        <v>180</v>
      </c>
      <c r="ET6" s="312"/>
      <c r="EU6" s="19" t="s">
        <v>187</v>
      </c>
      <c r="EV6" s="312"/>
      <c r="EW6" s="19" t="s">
        <v>189</v>
      </c>
      <c r="EX6" s="312"/>
      <c r="EY6" s="19" t="s">
        <v>191</v>
      </c>
      <c r="EZ6" s="326"/>
      <c r="FA6" s="22" t="s">
        <v>193</v>
      </c>
      <c r="FB6" s="312"/>
      <c r="FC6" s="19" t="s">
        <v>195</v>
      </c>
      <c r="FD6" s="312"/>
      <c r="FE6" s="19" t="s">
        <v>197</v>
      </c>
      <c r="FF6" s="312"/>
      <c r="FG6" s="19" t="s">
        <v>199</v>
      </c>
      <c r="FH6" s="312"/>
      <c r="FI6" s="19" t="s">
        <v>201</v>
      </c>
      <c r="FJ6" s="312"/>
      <c r="FK6" s="19" t="s">
        <v>201</v>
      </c>
      <c r="FL6" s="312"/>
      <c r="FM6" s="19" t="s">
        <v>205</v>
      </c>
      <c r="FN6" s="312"/>
      <c r="FO6" s="19" t="s">
        <v>207</v>
      </c>
      <c r="FP6" s="312"/>
      <c r="FQ6" s="19" t="s">
        <v>209</v>
      </c>
      <c r="FR6" s="312"/>
      <c r="FS6" s="19" t="s">
        <v>211</v>
      </c>
      <c r="FT6" s="312"/>
      <c r="FU6" s="19" t="s">
        <v>213</v>
      </c>
      <c r="FV6" s="312"/>
      <c r="FW6" s="19" t="s">
        <v>215</v>
      </c>
      <c r="FX6" s="286"/>
      <c r="FY6" s="19" t="s">
        <v>217</v>
      </c>
      <c r="FZ6" s="326"/>
      <c r="GA6" s="22" t="s">
        <v>219</v>
      </c>
      <c r="GB6" s="286"/>
      <c r="GC6" s="19" t="s">
        <v>222</v>
      </c>
      <c r="GD6" s="286"/>
      <c r="GE6" s="19" t="s">
        <v>223</v>
      </c>
      <c r="GF6" s="286"/>
      <c r="GG6" s="19" t="s">
        <v>225</v>
      </c>
      <c r="GH6" s="286"/>
      <c r="GI6" s="19" t="s">
        <v>227</v>
      </c>
      <c r="GJ6" s="286"/>
      <c r="GK6" s="19" t="s">
        <v>228</v>
      </c>
      <c r="GL6" s="286"/>
      <c r="GM6" s="19" t="s">
        <v>231</v>
      </c>
      <c r="GN6" s="286"/>
      <c r="GO6" s="19" t="s">
        <v>233</v>
      </c>
      <c r="GP6" s="286"/>
      <c r="GQ6" s="19" t="s">
        <v>235</v>
      </c>
      <c r="GR6" s="286"/>
      <c r="GS6" s="19" t="s">
        <v>237</v>
      </c>
      <c r="GT6" s="286"/>
      <c r="GU6" s="19" t="s">
        <v>239</v>
      </c>
      <c r="GV6" s="286"/>
      <c r="GW6" s="19" t="s">
        <v>241</v>
      </c>
      <c r="GX6" s="286"/>
      <c r="GY6" s="19" t="s">
        <v>243</v>
      </c>
      <c r="GZ6" s="326"/>
      <c r="HA6" s="22" t="s">
        <v>245</v>
      </c>
      <c r="HB6" s="286"/>
      <c r="HC6" s="19" t="s">
        <v>247</v>
      </c>
      <c r="HD6" s="286"/>
      <c r="HE6" s="19" t="s">
        <v>249</v>
      </c>
      <c r="HF6" s="286"/>
      <c r="HG6" s="19" t="s">
        <v>251</v>
      </c>
      <c r="HH6" s="286"/>
      <c r="HI6" s="19" t="s">
        <v>253</v>
      </c>
      <c r="HJ6" s="286"/>
      <c r="HK6" s="19" t="s">
        <v>255</v>
      </c>
      <c r="HL6" s="286"/>
      <c r="HM6" s="19" t="s">
        <v>267</v>
      </c>
      <c r="HN6" s="286"/>
      <c r="HO6" s="19" t="s">
        <v>269</v>
      </c>
      <c r="HP6" s="286"/>
      <c r="HQ6" s="19" t="s">
        <v>271</v>
      </c>
      <c r="HR6" s="286"/>
      <c r="HS6" s="19" t="s">
        <v>273</v>
      </c>
      <c r="HT6" s="286"/>
      <c r="HU6" s="19" t="s">
        <v>274</v>
      </c>
      <c r="HV6" s="286"/>
      <c r="HW6" s="19" t="s">
        <v>277</v>
      </c>
      <c r="HX6" s="286"/>
      <c r="HY6" s="19" t="s">
        <v>279</v>
      </c>
      <c r="HZ6" s="314"/>
      <c r="IA6" s="15" t="s">
        <v>281</v>
      </c>
      <c r="IB6" s="286"/>
      <c r="IC6" s="19" t="s">
        <v>283</v>
      </c>
      <c r="ID6" s="286"/>
      <c r="IE6" s="19" t="s">
        <v>285</v>
      </c>
      <c r="IF6" s="286"/>
      <c r="IG6" s="19" t="s">
        <v>287</v>
      </c>
      <c r="IH6" s="286"/>
      <c r="II6" s="19" t="s">
        <v>289</v>
      </c>
      <c r="IJ6" s="286"/>
      <c r="IK6" s="19" t="s">
        <v>292</v>
      </c>
      <c r="IL6" s="286"/>
      <c r="IM6" s="19" t="s">
        <v>294</v>
      </c>
      <c r="IN6" s="286"/>
      <c r="IO6" s="19" t="s">
        <v>301</v>
      </c>
      <c r="IP6" s="286"/>
      <c r="IQ6" s="19" t="s">
        <v>303</v>
      </c>
      <c r="IR6" s="286"/>
      <c r="IS6" s="19" t="s">
        <v>305</v>
      </c>
      <c r="IT6" s="286"/>
      <c r="IU6" s="19" t="s">
        <v>308</v>
      </c>
      <c r="IV6" s="286"/>
      <c r="IW6" s="19" t="s">
        <v>310</v>
      </c>
      <c r="IX6" s="286"/>
      <c r="IY6" s="19" t="s">
        <v>308</v>
      </c>
      <c r="IZ6" s="326"/>
      <c r="JA6" s="22" t="s">
        <v>312</v>
      </c>
      <c r="JB6" s="286"/>
      <c r="JC6" s="19" t="s">
        <v>314</v>
      </c>
      <c r="JD6" s="286"/>
      <c r="JE6" s="19" t="s">
        <v>316</v>
      </c>
      <c r="JF6" s="286"/>
      <c r="JG6" s="19" t="s">
        <v>318</v>
      </c>
      <c r="JH6" s="286"/>
      <c r="JI6" s="19" t="s">
        <v>322</v>
      </c>
      <c r="JJ6" s="286"/>
      <c r="JK6" s="19" t="s">
        <v>326</v>
      </c>
      <c r="JL6" s="286"/>
      <c r="JM6" s="19" t="s">
        <v>340</v>
      </c>
      <c r="JN6" s="286"/>
      <c r="JO6" s="19" t="s">
        <v>342</v>
      </c>
      <c r="JP6" s="286"/>
      <c r="JQ6" s="19" t="s">
        <v>344</v>
      </c>
      <c r="JR6" s="286"/>
      <c r="JS6" s="193" t="s">
        <v>346</v>
      </c>
      <c r="JT6" s="286"/>
      <c r="JU6" s="193" t="s">
        <v>347</v>
      </c>
      <c r="JV6" s="286"/>
      <c r="JW6" s="193" t="s">
        <v>350</v>
      </c>
      <c r="JX6" s="286"/>
      <c r="JY6" s="193" t="s">
        <v>353</v>
      </c>
      <c r="JZ6" s="286"/>
      <c r="KA6" s="193" t="s">
        <v>355</v>
      </c>
      <c r="KB6" s="286"/>
      <c r="KC6" s="193" t="s">
        <v>358</v>
      </c>
      <c r="KD6" s="286"/>
      <c r="KE6" s="193" t="s">
        <v>362</v>
      </c>
      <c r="KF6" s="286"/>
      <c r="KG6" s="193" t="s">
        <v>364</v>
      </c>
      <c r="KH6" s="286"/>
      <c r="KI6" s="193" t="s">
        <v>368</v>
      </c>
      <c r="KJ6" s="286"/>
      <c r="KK6" s="193" t="s">
        <v>370</v>
      </c>
      <c r="KL6" s="286"/>
      <c r="KM6" s="193" t="s">
        <v>373</v>
      </c>
      <c r="KN6" s="286"/>
      <c r="KO6" s="193" t="s">
        <v>383</v>
      </c>
      <c r="KP6" s="286"/>
      <c r="KQ6" s="193" t="s">
        <v>386</v>
      </c>
      <c r="KR6" s="12"/>
    </row>
    <row r="7" spans="1:408" ht="18.75">
      <c r="A7" s="33" t="s">
        <v>119</v>
      </c>
      <c r="B7" s="38">
        <v>134.4</v>
      </c>
      <c r="C7" s="38">
        <v>165.1</v>
      </c>
      <c r="D7" s="38">
        <v>161</v>
      </c>
      <c r="E7" s="38">
        <v>149.30000000000001</v>
      </c>
      <c r="F7" s="38">
        <v>178.2</v>
      </c>
      <c r="G7" s="38">
        <v>157.30000000000001</v>
      </c>
      <c r="H7" s="38">
        <v>175.8</v>
      </c>
      <c r="I7" s="38">
        <v>177.7</v>
      </c>
      <c r="J7" s="38">
        <v>173.6</v>
      </c>
      <c r="K7" s="38">
        <v>163.19999999999999</v>
      </c>
      <c r="L7" s="38">
        <v>172.5</v>
      </c>
      <c r="M7" s="38">
        <v>174.1</v>
      </c>
      <c r="N7" s="38">
        <v>180.9</v>
      </c>
      <c r="O7" s="38">
        <v>154.1</v>
      </c>
      <c r="P7" s="38">
        <v>185.9</v>
      </c>
      <c r="Q7" s="38">
        <v>154.6</v>
      </c>
      <c r="R7" s="38">
        <v>182.6</v>
      </c>
      <c r="S7" s="38">
        <v>127.5</v>
      </c>
      <c r="T7" s="38">
        <v>211.2</v>
      </c>
      <c r="U7" s="38">
        <v>121.4</v>
      </c>
      <c r="V7" s="39">
        <v>242.7</v>
      </c>
      <c r="W7" s="38">
        <v>120.9</v>
      </c>
      <c r="X7" s="38">
        <v>218</v>
      </c>
      <c r="Y7" s="38">
        <v>121.8</v>
      </c>
      <c r="Z7" s="40">
        <v>2216.8000000000002</v>
      </c>
      <c r="AA7" s="40">
        <v>143.80000000000001</v>
      </c>
      <c r="AB7" s="38">
        <v>147.4</v>
      </c>
      <c r="AC7" s="38">
        <v>109.7</v>
      </c>
      <c r="AD7" s="38">
        <v>157.9</v>
      </c>
      <c r="AE7" s="38">
        <v>98.1</v>
      </c>
      <c r="AF7" s="38">
        <v>199.4</v>
      </c>
      <c r="AG7" s="38">
        <v>111.9</v>
      </c>
      <c r="AH7" s="38">
        <v>181.6</v>
      </c>
      <c r="AI7" s="38">
        <v>103.3</v>
      </c>
      <c r="AJ7" s="38">
        <v>176.5</v>
      </c>
      <c r="AK7" s="38">
        <v>101.7</v>
      </c>
      <c r="AL7" s="38">
        <v>178.9</v>
      </c>
      <c r="AM7" s="38">
        <v>103.7</v>
      </c>
      <c r="AN7" s="38">
        <v>163</v>
      </c>
      <c r="AO7" s="38">
        <v>90.1</v>
      </c>
      <c r="AP7" s="38">
        <v>156.6</v>
      </c>
      <c r="AQ7" s="41">
        <v>84.2</v>
      </c>
      <c r="AR7" s="38">
        <v>187.1</v>
      </c>
      <c r="AS7" s="38">
        <v>102.5</v>
      </c>
      <c r="AT7" s="38">
        <v>210.3</v>
      </c>
      <c r="AU7" s="38">
        <v>99.6</v>
      </c>
      <c r="AV7" s="38">
        <v>215.9</v>
      </c>
      <c r="AW7" s="38">
        <v>89</v>
      </c>
      <c r="AX7" s="38">
        <v>187.3</v>
      </c>
      <c r="AY7" s="38">
        <v>85.9</v>
      </c>
      <c r="AZ7" s="40">
        <v>2161.9</v>
      </c>
      <c r="BA7" s="40">
        <v>97.5</v>
      </c>
      <c r="BB7" s="38">
        <v>165.4</v>
      </c>
      <c r="BC7" s="38">
        <v>112.2</v>
      </c>
      <c r="BD7" s="38">
        <v>200.8</v>
      </c>
      <c r="BE7" s="38">
        <v>127.2</v>
      </c>
      <c r="BF7" s="38">
        <v>223.5</v>
      </c>
      <c r="BG7" s="38">
        <v>112.1</v>
      </c>
      <c r="BH7" s="38">
        <v>193</v>
      </c>
      <c r="BI7" s="38">
        <v>106.2</v>
      </c>
      <c r="BJ7" s="38">
        <v>168</v>
      </c>
      <c r="BK7" s="38">
        <v>95.2</v>
      </c>
      <c r="BL7" s="39">
        <v>185.6</v>
      </c>
      <c r="BM7" s="39">
        <v>103.7</v>
      </c>
      <c r="BN7" s="39">
        <v>204.8</v>
      </c>
      <c r="BO7" s="39">
        <v>125.7</v>
      </c>
      <c r="BP7" s="39">
        <v>202.9</v>
      </c>
      <c r="BQ7" s="39">
        <v>129.6</v>
      </c>
      <c r="BR7" s="39">
        <v>197.1</v>
      </c>
      <c r="BS7" s="39">
        <v>105.3</v>
      </c>
      <c r="BT7" s="42">
        <v>227.5</v>
      </c>
      <c r="BU7" s="43">
        <v>108.2</v>
      </c>
      <c r="BV7" s="43">
        <v>255</v>
      </c>
      <c r="BW7" s="43">
        <v>118.1</v>
      </c>
      <c r="BX7" s="43">
        <v>204.7</v>
      </c>
      <c r="BY7" s="43">
        <v>109.3</v>
      </c>
      <c r="BZ7" s="44">
        <v>2428.3000000000002</v>
      </c>
      <c r="CA7" s="44">
        <v>112.3</v>
      </c>
      <c r="CB7" s="45">
        <v>170.7</v>
      </c>
      <c r="CC7" s="45">
        <v>103.2</v>
      </c>
      <c r="CD7" s="45">
        <v>188.2</v>
      </c>
      <c r="CE7" s="45">
        <v>93.7</v>
      </c>
      <c r="CF7" s="45">
        <v>214.1</v>
      </c>
      <c r="CG7" s="45">
        <v>95.8</v>
      </c>
      <c r="CH7" s="45">
        <v>194.5</v>
      </c>
      <c r="CI7" s="45">
        <v>100.8</v>
      </c>
      <c r="CJ7" s="45">
        <v>201.7</v>
      </c>
      <c r="CK7" s="45">
        <v>120.1</v>
      </c>
      <c r="CL7" s="45">
        <v>203</v>
      </c>
      <c r="CM7" s="45">
        <v>109.4</v>
      </c>
      <c r="CN7" s="45">
        <v>204.3</v>
      </c>
      <c r="CO7" s="45">
        <v>99.8</v>
      </c>
      <c r="CP7" s="45">
        <v>176.1</v>
      </c>
      <c r="CQ7" s="45">
        <v>86.8</v>
      </c>
      <c r="CR7" s="45">
        <v>184.8</v>
      </c>
      <c r="CS7" s="45">
        <v>93.8</v>
      </c>
      <c r="CT7" s="45">
        <v>212.5</v>
      </c>
      <c r="CU7" s="45">
        <v>93.4</v>
      </c>
      <c r="CV7" s="45">
        <v>208.3</v>
      </c>
      <c r="CW7" s="45">
        <v>81.7</v>
      </c>
      <c r="CX7" s="45">
        <v>181.3</v>
      </c>
      <c r="CY7" s="45">
        <v>88.5</v>
      </c>
      <c r="CZ7" s="44">
        <v>2339.5</v>
      </c>
      <c r="DA7" s="44">
        <v>96.3</v>
      </c>
      <c r="DB7" s="45">
        <v>147.69999999999999</v>
      </c>
      <c r="DC7" s="46">
        <v>86.5</v>
      </c>
      <c r="DD7" s="46">
        <v>165.5</v>
      </c>
      <c r="DE7" s="46">
        <v>87.9</v>
      </c>
      <c r="DF7" s="46">
        <v>174.7</v>
      </c>
      <c r="DG7" s="47">
        <v>81.599999999999994</v>
      </c>
      <c r="DH7" s="47">
        <v>151.30000000000001</v>
      </c>
      <c r="DI7" s="47">
        <v>77.8</v>
      </c>
      <c r="DJ7" s="46">
        <v>172.9</v>
      </c>
      <c r="DK7" s="47">
        <v>85.7</v>
      </c>
      <c r="DL7" s="48">
        <v>180.6</v>
      </c>
      <c r="DM7" s="49">
        <v>89</v>
      </c>
      <c r="DN7" s="48">
        <v>164.8</v>
      </c>
      <c r="DO7" s="48">
        <v>80.7</v>
      </c>
      <c r="DP7" s="48">
        <v>126.8</v>
      </c>
      <c r="DQ7" s="47">
        <v>72</v>
      </c>
      <c r="DR7" s="46">
        <v>163.30000000000001</v>
      </c>
      <c r="DS7" s="46">
        <v>88.4</v>
      </c>
      <c r="DT7" s="46">
        <v>188.5</v>
      </c>
      <c r="DU7" s="47">
        <v>88.7</v>
      </c>
      <c r="DV7" s="46">
        <v>167.2</v>
      </c>
      <c r="DW7" s="47">
        <v>80.3</v>
      </c>
      <c r="DX7" s="46">
        <v>163.5</v>
      </c>
      <c r="DY7" s="46">
        <v>90.2</v>
      </c>
      <c r="DZ7" s="50">
        <v>1966.8</v>
      </c>
      <c r="EA7" s="50">
        <v>84.1</v>
      </c>
      <c r="EB7" s="51">
        <v>116.8</v>
      </c>
      <c r="EC7" s="47">
        <v>79.099999999999994</v>
      </c>
      <c r="ED7" s="46">
        <v>138.5</v>
      </c>
      <c r="EE7" s="46">
        <v>83.7</v>
      </c>
      <c r="EF7" s="52">
        <v>161.30000000000001</v>
      </c>
      <c r="EG7" s="46">
        <v>92.3</v>
      </c>
      <c r="EH7" s="46">
        <v>178.5</v>
      </c>
      <c r="EI7" s="47">
        <v>118</v>
      </c>
      <c r="EJ7" s="47">
        <v>153</v>
      </c>
      <c r="EK7" s="47">
        <v>88.5</v>
      </c>
      <c r="EL7" s="47">
        <v>157.4</v>
      </c>
      <c r="EM7" s="47">
        <v>87.1</v>
      </c>
      <c r="EN7" s="47">
        <v>165.6</v>
      </c>
      <c r="EO7" s="47">
        <v>100.5</v>
      </c>
      <c r="EP7" s="47">
        <v>168</v>
      </c>
      <c r="EQ7" s="47">
        <v>132.5</v>
      </c>
      <c r="ER7" s="47">
        <v>193.6</v>
      </c>
      <c r="ES7" s="47">
        <v>118.5</v>
      </c>
      <c r="ET7" s="47">
        <v>200.8</v>
      </c>
      <c r="EU7" s="47">
        <v>106.5</v>
      </c>
      <c r="EV7" s="47">
        <v>217.6</v>
      </c>
      <c r="EW7" s="47">
        <v>130.1</v>
      </c>
      <c r="EX7" s="47">
        <v>193.5</v>
      </c>
      <c r="EY7" s="47">
        <v>118.4</v>
      </c>
      <c r="EZ7" s="53">
        <v>2044.6</v>
      </c>
      <c r="FA7" s="53">
        <v>104</v>
      </c>
      <c r="FB7" s="51">
        <v>139.5</v>
      </c>
      <c r="FC7" s="51">
        <v>119.5</v>
      </c>
      <c r="FD7" s="51">
        <v>176.6</v>
      </c>
      <c r="FE7" s="51">
        <v>127.5</v>
      </c>
      <c r="FF7" s="51">
        <v>212.1</v>
      </c>
      <c r="FG7" s="51">
        <v>131.5</v>
      </c>
      <c r="FH7" s="51">
        <v>154.19999999999999</v>
      </c>
      <c r="FI7" s="51">
        <v>86.4</v>
      </c>
      <c r="FJ7" s="51">
        <v>174.7</v>
      </c>
      <c r="FK7" s="51">
        <v>114.2</v>
      </c>
      <c r="FL7" s="51">
        <v>171.1</v>
      </c>
      <c r="FM7" s="51">
        <v>108.7</v>
      </c>
      <c r="FN7" s="51">
        <v>191.6</v>
      </c>
      <c r="FO7" s="51">
        <v>115.7</v>
      </c>
      <c r="FP7" s="51">
        <v>207.9</v>
      </c>
      <c r="FQ7" s="51">
        <v>123.7</v>
      </c>
      <c r="FR7" s="51">
        <v>223.9</v>
      </c>
      <c r="FS7" s="51">
        <v>115.8</v>
      </c>
      <c r="FT7" s="51">
        <v>268.2</v>
      </c>
      <c r="FU7" s="51">
        <v>133.6</v>
      </c>
      <c r="FV7" s="51">
        <v>272.10000000000002</v>
      </c>
      <c r="FW7" s="51">
        <v>125</v>
      </c>
      <c r="FX7" s="51">
        <v>233.1</v>
      </c>
      <c r="FY7" s="51">
        <v>120.5</v>
      </c>
      <c r="FZ7" s="53">
        <v>2425</v>
      </c>
      <c r="GA7" s="53">
        <v>118.6</v>
      </c>
      <c r="GB7" s="51">
        <v>220.3</v>
      </c>
      <c r="GC7" s="51">
        <v>157.9</v>
      </c>
      <c r="GD7" s="51">
        <v>215.5</v>
      </c>
      <c r="GE7" s="51">
        <v>122</v>
      </c>
      <c r="GF7" s="51">
        <v>242.1</v>
      </c>
      <c r="GG7" s="51">
        <v>114.2</v>
      </c>
      <c r="GH7" s="51">
        <v>199.7</v>
      </c>
      <c r="GI7" s="51">
        <v>129.5</v>
      </c>
      <c r="GJ7" s="24">
        <v>223</v>
      </c>
      <c r="GK7" s="25">
        <v>127.6</v>
      </c>
      <c r="GL7" s="24">
        <v>214.1</v>
      </c>
      <c r="GM7" s="25">
        <v>125.2</v>
      </c>
      <c r="GN7" s="24">
        <v>218.8</v>
      </c>
      <c r="GO7" s="25">
        <v>114.2</v>
      </c>
      <c r="GP7" s="115">
        <v>218.6</v>
      </c>
      <c r="GQ7" s="118">
        <v>105.2</v>
      </c>
      <c r="GR7" s="24">
        <v>207.3</v>
      </c>
      <c r="GS7" s="25">
        <v>92.6</v>
      </c>
      <c r="GT7" s="24">
        <v>259</v>
      </c>
      <c r="GU7" s="118">
        <v>96.5</v>
      </c>
      <c r="GV7" s="24">
        <v>268.89999999999998</v>
      </c>
      <c r="GW7" s="115">
        <v>98.8</v>
      </c>
      <c r="GX7" s="24">
        <v>218.8</v>
      </c>
      <c r="GY7" s="127">
        <v>93.9</v>
      </c>
      <c r="GZ7" s="121">
        <v>2706.2</v>
      </c>
      <c r="HA7" s="124">
        <v>111.6</v>
      </c>
      <c r="HB7" s="132">
        <v>234.3</v>
      </c>
      <c r="HC7" s="133">
        <f>IF(220321.7383="","-",234254.08835/220321.7383*100)</f>
        <v>106.32363840150403</v>
      </c>
      <c r="HD7" s="132">
        <v>241.4</v>
      </c>
      <c r="HE7" s="133">
        <f>IF(215472.31369="","-",241409.84081/215472.31369*100)</f>
        <v>112.03752197942065</v>
      </c>
      <c r="HF7" s="132">
        <v>257.2</v>
      </c>
      <c r="HG7" s="133">
        <f>IF(242121.38159="","-",257232.04683/242121.38159*100)</f>
        <v>106.24094623150131</v>
      </c>
      <c r="HH7" s="132">
        <v>215.6</v>
      </c>
      <c r="HI7" s="133">
        <f>IF(199735.58403="","-",215570.89403/199735.58403*100)</f>
        <v>107.92813662968615</v>
      </c>
      <c r="HJ7" s="132">
        <v>210.5</v>
      </c>
      <c r="HK7" s="133">
        <f>IF(223023.34378="","-",210534.26912/223023.34378*100)</f>
        <v>94.400104290284631</v>
      </c>
      <c r="HL7" s="132">
        <v>202.2</v>
      </c>
      <c r="HM7" s="133">
        <f>IF(214123.17565="","-",202212.33865/214123.17565*100)</f>
        <v>94.437390084542201</v>
      </c>
      <c r="HN7" s="132">
        <v>220.2</v>
      </c>
      <c r="HO7" s="133">
        <f>IF(218832.76993="","-",220166.65021/218832.76993*100)</f>
        <v>100.6095432052643</v>
      </c>
      <c r="HP7" s="132">
        <v>205.8</v>
      </c>
      <c r="HQ7" s="133">
        <f>IF(218601.82808="","-",205803.2912/218601.82808*100)</f>
        <v>94.145274542115814</v>
      </c>
      <c r="HR7" s="132">
        <v>238.8</v>
      </c>
      <c r="HS7" s="133">
        <f>IF(207304.07378="","-",238794.12546/207304.07378*100)</f>
        <v>115.19027152038439</v>
      </c>
      <c r="HT7" s="132">
        <v>268.3</v>
      </c>
      <c r="HU7" s="133">
        <f>IF(258965.48256="","-",268342.58823/258965.48256*100)</f>
        <v>103.62098669571817</v>
      </c>
      <c r="HV7" s="132">
        <v>266.60000000000002</v>
      </c>
      <c r="HW7" s="133">
        <f>IF(268843.90574="","-",266552.51729/268843.90574*100)</f>
        <v>99.147688156183818</v>
      </c>
      <c r="HX7" s="132">
        <v>218.3</v>
      </c>
      <c r="HY7" s="133">
        <f>IF(218827.70429="","-",218291.815/218827.70429*100)</f>
        <v>99.755109028932736</v>
      </c>
      <c r="HZ7" s="134">
        <v>2779.2</v>
      </c>
      <c r="IA7" s="135">
        <f>IF(2706173.30142="","-",2779164.46518/2706173.30142*100)</f>
        <v>102.69720951432416</v>
      </c>
      <c r="IB7" s="132">
        <v>219.5</v>
      </c>
      <c r="IC7" s="133">
        <f>IF(234254.08835="","-",219472.10441/234254.08835*100)</f>
        <v>93.68976480021378</v>
      </c>
      <c r="ID7" s="132">
        <v>245.3</v>
      </c>
      <c r="IE7" s="133">
        <f>IF(241409.84081="","-",245324.45574/241409.84081*100)</f>
        <v>101.62156394157972</v>
      </c>
      <c r="IF7" s="132">
        <v>210.2</v>
      </c>
      <c r="IG7" s="133">
        <f>IF(257232.04683="","-",210230.63314/257232.04683*100)</f>
        <v>81.728010071364707</v>
      </c>
      <c r="IH7" s="132">
        <v>149.80000000000001</v>
      </c>
      <c r="II7" s="133">
        <f>IF(215570.89403="","-",149859.83301/215570.89403*100)</f>
        <v>69.517656214361068</v>
      </c>
      <c r="IJ7" s="24">
        <v>155.69999999999999</v>
      </c>
      <c r="IK7" s="133">
        <f>IF(210534.26912="","-",155710.73078/210534.26912*100)</f>
        <v>73.959803043393492</v>
      </c>
      <c r="IL7" s="133">
        <v>189.6</v>
      </c>
      <c r="IM7" s="133">
        <f>IF(202212.33865="","-",189578.77956/202212.33865*100)</f>
        <v>93.752330261178145</v>
      </c>
      <c r="IN7" s="24">
        <v>191.1</v>
      </c>
      <c r="IO7" s="133">
        <f>IF(220166.65021="","-",191130.33065/220166.65021*100)</f>
        <v>86.811663105059509</v>
      </c>
      <c r="IP7" s="24">
        <v>163.9</v>
      </c>
      <c r="IQ7" s="133">
        <f>IF(205803.2912="","-",163909.5874/205803.2912*100)</f>
        <v>79.643812518387932</v>
      </c>
      <c r="IR7" s="133">
        <v>212.3</v>
      </c>
      <c r="IS7" s="133">
        <f>IF(238794.12546="","-",212259.13319/238794.12546*100)</f>
        <v>88.887920831852767</v>
      </c>
      <c r="IT7" s="133">
        <v>249.4</v>
      </c>
      <c r="IU7" s="115">
        <f>IF(268342.58823="","-",249353.22858/268342.58823*100)</f>
        <v>92.923464078044901</v>
      </c>
      <c r="IV7" s="24">
        <v>262</v>
      </c>
      <c r="IW7" s="115">
        <f>IF(266552.51729="","-",262034.9772/266552.51729*100)</f>
        <v>98.30519698859753</v>
      </c>
      <c r="IX7" s="133">
        <v>218.3</v>
      </c>
      <c r="IY7" s="115">
        <f>IF(218291.815="","-",218242.28602/218291.815*100)</f>
        <v>99.977310656379856</v>
      </c>
      <c r="IZ7" s="121">
        <v>2467.1</v>
      </c>
      <c r="JA7" s="135">
        <f>IF(2779164.46518="","-",2467106.07968/2779164.46518*100)</f>
        <v>88.771503471285612</v>
      </c>
      <c r="JB7" s="195">
        <v>198.4</v>
      </c>
      <c r="JC7" s="115">
        <f>IF(219472.10441="","-",198437.26393/219472.10441*100)</f>
        <v>90.415711128050958</v>
      </c>
      <c r="JD7" s="195">
        <v>227</v>
      </c>
      <c r="JE7" s="115">
        <f>IF(245324.45574="","-",227034.99772/245324.45574*100)</f>
        <v>92.544788099159774</v>
      </c>
      <c r="JF7" s="195">
        <v>259.3</v>
      </c>
      <c r="JG7" s="115">
        <f>IF(210230.63314="","-",259287.13538/210230.63314*100)</f>
        <v>123.33461185332185</v>
      </c>
      <c r="JH7" s="195">
        <v>218.2</v>
      </c>
      <c r="JI7" s="115">
        <f>IF(149859.83301="","-",218235.12722/149859.83301*100)</f>
        <v>145.62616468779689</v>
      </c>
      <c r="JJ7" s="197">
        <v>201.7</v>
      </c>
      <c r="JK7" s="115">
        <f>IF(155710.73078="","-",201697.01673/155710.73078*100)</f>
        <v>129.53315145310887</v>
      </c>
      <c r="JL7" s="196">
        <v>226.8</v>
      </c>
      <c r="JM7" s="115">
        <f>IF(189578.77956="","-",226810.79989/189578.77956*100)</f>
        <v>119.63933960141166</v>
      </c>
      <c r="JN7" s="196">
        <v>240.7</v>
      </c>
      <c r="JO7" s="115">
        <f>IF(191130.33065="","-",240720.89459/191130.33065*100)</f>
        <v>125.94594158412818</v>
      </c>
      <c r="JP7" s="196">
        <v>236.3</v>
      </c>
      <c r="JQ7" s="115">
        <f>IF(163909.5874="","-",236300.67911/163909.5874*100)</f>
        <v>144.1652577242715</v>
      </c>
      <c r="JR7" s="197">
        <v>294.89999999999998</v>
      </c>
      <c r="JS7" s="115">
        <f>IF(212259.13319="","-",294897.29212/212259.13319*100)</f>
        <v>138.93267521074247</v>
      </c>
      <c r="JT7" s="220" t="s">
        <v>379</v>
      </c>
      <c r="JU7" s="115">
        <f>IF(249353.22858="","-",352247.51165/249353.22858*100)</f>
        <v>141.26446794210585</v>
      </c>
      <c r="JV7" s="220">
        <v>363.9</v>
      </c>
      <c r="JW7" s="118">
        <f>IF(262034.9772="","-",363865.01311/262034.9772*100)</f>
        <v>138.86123791492062</v>
      </c>
      <c r="JX7" s="220">
        <v>325</v>
      </c>
      <c r="JY7" s="115">
        <f>IF(218242.28602="","-",324970.80722/218242.28602*100)</f>
        <v>148.90368550768355</v>
      </c>
      <c r="JZ7" s="121">
        <v>3144.5</v>
      </c>
      <c r="KA7" s="135">
        <f>IF(2467106.07968="","-",3144504.53867/2467106.07968*100)</f>
        <v>127.45720845039072</v>
      </c>
      <c r="KB7" s="246">
        <v>330.4</v>
      </c>
      <c r="KC7" s="262">
        <f>IF(198437.26393="","-",330357.20487/198437.26393*100)</f>
        <v>166.47941940306919</v>
      </c>
      <c r="KD7" s="246">
        <v>336.5</v>
      </c>
      <c r="KE7" s="262">
        <f>IF(227034.99772="","-",336464.33268/227034.99772*100)</f>
        <v>148.19932435921535</v>
      </c>
      <c r="KF7" s="246">
        <v>395.8</v>
      </c>
      <c r="KG7" s="262">
        <f>IF(259287.13538="","-",395828.7569/259287.13538*100)</f>
        <v>152.66039185472528</v>
      </c>
      <c r="KH7" s="262">
        <v>396.3</v>
      </c>
      <c r="KI7" s="262">
        <f>IF(218235.12722="","-",396340.15551/218235.12722*100)</f>
        <v>181.61153090192244</v>
      </c>
      <c r="KJ7" s="263">
        <v>416</v>
      </c>
      <c r="KK7" s="262">
        <f>IF(201697.01673="","-",416034.4974/201697.01673*100)</f>
        <v>206.26705548001289</v>
      </c>
      <c r="KL7" s="271">
        <v>416.4</v>
      </c>
      <c r="KM7" s="263">
        <f>IF(226810.79989="","-",416433.40668/226810.79989*100)</f>
        <v>183.60387022221354</v>
      </c>
      <c r="KN7" s="263">
        <v>338.3</v>
      </c>
      <c r="KO7" s="262">
        <f>IF(240720.89459="","-",338256.05619/240720.89459*100)</f>
        <v>140.517945800311</v>
      </c>
      <c r="KP7" s="263">
        <v>329.4</v>
      </c>
      <c r="KQ7" s="262">
        <f>IF(236300.67911="","-",329423.31375/236300.67911*100)</f>
        <v>139.4085344954301</v>
      </c>
      <c r="KR7" s="33" t="s">
        <v>119</v>
      </c>
    </row>
    <row r="8" spans="1:408" ht="15.75" customHeight="1">
      <c r="A8" s="34" t="s">
        <v>120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54"/>
      <c r="W8" s="39"/>
      <c r="X8" s="39"/>
      <c r="Y8" s="39"/>
      <c r="Z8" s="40"/>
      <c r="AA8" s="40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40"/>
      <c r="BA8" s="40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55"/>
      <c r="CA8" s="55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55"/>
      <c r="DA8" s="55"/>
      <c r="DB8" s="47"/>
      <c r="DC8" s="56"/>
      <c r="DD8" s="57"/>
      <c r="DE8" s="57"/>
      <c r="DF8" s="56"/>
      <c r="DG8" s="58"/>
      <c r="DH8" s="58"/>
      <c r="DI8" s="58"/>
      <c r="DJ8" s="57"/>
      <c r="DK8" s="58"/>
      <c r="DL8" s="59"/>
      <c r="DM8" s="59"/>
      <c r="DN8" s="59"/>
      <c r="DO8" s="59"/>
      <c r="DP8" s="59"/>
      <c r="DQ8" s="58"/>
      <c r="DR8" s="56"/>
      <c r="DS8" s="57"/>
      <c r="DT8" s="60"/>
      <c r="DU8" s="58"/>
      <c r="DV8" s="61"/>
      <c r="DW8" s="58"/>
      <c r="DX8" s="57"/>
      <c r="DY8" s="57"/>
      <c r="DZ8" s="62"/>
      <c r="EA8" s="62"/>
      <c r="EB8" s="63"/>
      <c r="EC8" s="58"/>
      <c r="ED8" s="57"/>
      <c r="EE8" s="57"/>
      <c r="EF8" s="61"/>
      <c r="EG8" s="64"/>
      <c r="EH8" s="64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6"/>
      <c r="FA8" s="66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6"/>
      <c r="GA8" s="66"/>
      <c r="GB8" s="67"/>
      <c r="GC8" s="67"/>
      <c r="GD8" s="67"/>
      <c r="GE8" s="67"/>
      <c r="GF8" s="67"/>
      <c r="GG8" s="67"/>
      <c r="GH8" s="67"/>
      <c r="GI8" s="67"/>
      <c r="GJ8" s="26"/>
      <c r="GK8" s="27"/>
      <c r="GL8" s="26"/>
      <c r="GM8" s="27"/>
      <c r="GN8" s="26"/>
      <c r="GO8" s="27"/>
      <c r="GP8" s="116"/>
      <c r="GQ8" s="119"/>
      <c r="GR8" s="119"/>
      <c r="GS8" s="27"/>
      <c r="GT8" s="27"/>
      <c r="GU8" s="27"/>
      <c r="GV8" s="26"/>
      <c r="GW8" s="26"/>
      <c r="GX8" s="26"/>
      <c r="GY8" s="26"/>
      <c r="GZ8" s="123"/>
      <c r="HA8" s="123"/>
      <c r="HB8" s="136"/>
      <c r="HC8" s="115"/>
      <c r="HD8" s="136"/>
      <c r="HE8" s="115"/>
      <c r="HF8" s="136"/>
      <c r="HG8" s="115"/>
      <c r="HH8" s="136"/>
      <c r="HI8" s="115"/>
      <c r="HJ8" s="136"/>
      <c r="HK8" s="115"/>
      <c r="HL8" s="136"/>
      <c r="HM8" s="115"/>
      <c r="HN8" s="136"/>
      <c r="HO8" s="115"/>
      <c r="HP8" s="136"/>
      <c r="HQ8" s="115"/>
      <c r="HR8" s="136"/>
      <c r="HS8" s="115"/>
      <c r="HT8" s="136"/>
      <c r="HU8" s="115"/>
      <c r="HV8" s="136"/>
      <c r="HW8" s="115"/>
      <c r="HX8" s="136"/>
      <c r="HY8" s="115"/>
      <c r="HZ8" s="137"/>
      <c r="IA8" s="124"/>
      <c r="IB8" s="136"/>
      <c r="IC8" s="26"/>
      <c r="ID8" s="136"/>
      <c r="IE8" s="26"/>
      <c r="IF8" s="136"/>
      <c r="IG8" s="26"/>
      <c r="IH8" s="136"/>
      <c r="II8" s="26"/>
      <c r="IJ8" s="26"/>
      <c r="IK8" s="26"/>
      <c r="IL8" s="139"/>
      <c r="IM8" s="26"/>
      <c r="IN8" s="26"/>
      <c r="IO8" s="26"/>
      <c r="IP8" s="26"/>
      <c r="IQ8" s="26"/>
      <c r="IR8" s="174"/>
      <c r="IS8" s="26"/>
      <c r="IT8" s="174"/>
      <c r="IU8" s="26"/>
      <c r="IV8" s="26"/>
      <c r="IW8" s="26"/>
      <c r="IX8" s="174"/>
      <c r="IY8" s="26"/>
      <c r="IZ8" s="123"/>
      <c r="JA8" s="123"/>
      <c r="JB8" s="221"/>
      <c r="JC8" s="26"/>
      <c r="JD8" s="221"/>
      <c r="JE8" s="26"/>
      <c r="JF8" s="221"/>
      <c r="JG8" s="26"/>
      <c r="JH8" s="221"/>
      <c r="JI8" s="26"/>
      <c r="JJ8" s="200"/>
      <c r="JK8" s="26"/>
      <c r="JL8" s="199"/>
      <c r="JM8" s="26"/>
      <c r="JN8" s="199"/>
      <c r="JO8" s="26"/>
      <c r="JP8" s="199"/>
      <c r="JQ8" s="26"/>
      <c r="JR8" s="199"/>
      <c r="JS8" s="26"/>
      <c r="JT8" s="220"/>
      <c r="JU8" s="26"/>
      <c r="JV8" s="220"/>
      <c r="JW8" s="26"/>
      <c r="JX8" s="222"/>
      <c r="JY8" s="115"/>
      <c r="JZ8" s="121"/>
      <c r="KA8" s="125"/>
      <c r="KB8" s="155"/>
      <c r="KC8" s="155"/>
      <c r="KD8" s="246"/>
      <c r="KE8" s="155"/>
      <c r="KF8" s="246"/>
      <c r="KG8" s="262"/>
      <c r="KH8" s="246"/>
      <c r="KI8" s="246"/>
      <c r="KJ8" s="246"/>
      <c r="KK8" s="246"/>
      <c r="KL8" s="271"/>
      <c r="KM8" s="155"/>
      <c r="KN8" s="273"/>
      <c r="KO8" s="274"/>
      <c r="KP8" s="273"/>
      <c r="KQ8" s="274"/>
      <c r="KR8" s="34" t="s">
        <v>120</v>
      </c>
    </row>
    <row r="9" spans="1:408" ht="18.75">
      <c r="A9" s="35" t="s">
        <v>329</v>
      </c>
      <c r="B9" s="68">
        <v>42.5</v>
      </c>
      <c r="C9" s="68">
        <v>158.69999999999999</v>
      </c>
      <c r="D9" s="68">
        <v>56.6</v>
      </c>
      <c r="E9" s="68">
        <v>131.19999999999999</v>
      </c>
      <c r="F9" s="68">
        <v>76.8</v>
      </c>
      <c r="G9" s="68">
        <v>168.2</v>
      </c>
      <c r="H9" s="68">
        <v>70.8</v>
      </c>
      <c r="I9" s="68">
        <v>169.9</v>
      </c>
      <c r="J9" s="68">
        <v>69.7</v>
      </c>
      <c r="K9" s="68">
        <v>178.8</v>
      </c>
      <c r="L9" s="68">
        <v>72.2</v>
      </c>
      <c r="M9" s="68">
        <v>172.9</v>
      </c>
      <c r="N9" s="68">
        <v>78.900000000000006</v>
      </c>
      <c r="O9" s="68">
        <v>187.8</v>
      </c>
      <c r="P9" s="68">
        <v>77.099999999999994</v>
      </c>
      <c r="Q9" s="68">
        <v>157.19999999999999</v>
      </c>
      <c r="R9" s="68">
        <v>81.8</v>
      </c>
      <c r="S9" s="68">
        <v>133.1</v>
      </c>
      <c r="T9" s="68">
        <v>97.6</v>
      </c>
      <c r="U9" s="68">
        <v>126.1</v>
      </c>
      <c r="V9" s="69">
        <v>101.1</v>
      </c>
      <c r="W9" s="68">
        <v>118.4</v>
      </c>
      <c r="X9" s="68">
        <v>94.2</v>
      </c>
      <c r="Y9" s="68">
        <v>133.19999999999999</v>
      </c>
      <c r="Z9" s="70">
        <v>919.3</v>
      </c>
      <c r="AA9" s="70">
        <v>147.30000000000001</v>
      </c>
      <c r="AB9" s="68">
        <v>54.3</v>
      </c>
      <c r="AC9" s="68">
        <v>127.7</v>
      </c>
      <c r="AD9" s="68">
        <v>65.900000000000006</v>
      </c>
      <c r="AE9" s="68">
        <v>116.3</v>
      </c>
      <c r="AF9" s="68">
        <v>80.900000000000006</v>
      </c>
      <c r="AG9" s="68">
        <v>105.3</v>
      </c>
      <c r="AH9" s="68">
        <v>77.8</v>
      </c>
      <c r="AI9" s="68">
        <v>109.9</v>
      </c>
      <c r="AJ9" s="68">
        <v>72.400000000000006</v>
      </c>
      <c r="AK9" s="68">
        <v>103.9</v>
      </c>
      <c r="AL9" s="68">
        <v>77</v>
      </c>
      <c r="AM9" s="68">
        <v>106.7</v>
      </c>
      <c r="AN9" s="68">
        <v>79</v>
      </c>
      <c r="AO9" s="68">
        <v>100.1</v>
      </c>
      <c r="AP9" s="68">
        <v>75.8</v>
      </c>
      <c r="AQ9" s="71">
        <v>98.3</v>
      </c>
      <c r="AR9" s="68">
        <v>84.1</v>
      </c>
      <c r="AS9" s="68">
        <v>102.8</v>
      </c>
      <c r="AT9" s="68">
        <v>94.9</v>
      </c>
      <c r="AU9" s="68">
        <v>97.2</v>
      </c>
      <c r="AV9" s="68">
        <v>91.2</v>
      </c>
      <c r="AW9" s="68">
        <v>90.2</v>
      </c>
      <c r="AX9" s="68">
        <v>74.8</v>
      </c>
      <c r="AY9" s="68">
        <v>79.5</v>
      </c>
      <c r="AZ9" s="70">
        <v>928.1</v>
      </c>
      <c r="BA9" s="70">
        <v>101</v>
      </c>
      <c r="BB9" s="68">
        <v>63.7</v>
      </c>
      <c r="BC9" s="68">
        <v>117.3</v>
      </c>
      <c r="BD9" s="68">
        <v>79</v>
      </c>
      <c r="BE9" s="68">
        <v>119.9</v>
      </c>
      <c r="BF9" s="68">
        <v>103.6</v>
      </c>
      <c r="BG9" s="68">
        <v>128.1</v>
      </c>
      <c r="BH9" s="58">
        <v>70.599999999999994</v>
      </c>
      <c r="BI9" s="68">
        <v>90.7</v>
      </c>
      <c r="BJ9" s="58">
        <v>62.7</v>
      </c>
      <c r="BK9" s="68">
        <v>86.5</v>
      </c>
      <c r="BL9" s="31">
        <v>75</v>
      </c>
      <c r="BM9" s="31">
        <v>97.4</v>
      </c>
      <c r="BN9" s="31">
        <v>79.400000000000006</v>
      </c>
      <c r="BO9" s="31">
        <v>100.5</v>
      </c>
      <c r="BP9" s="31">
        <v>76.7</v>
      </c>
      <c r="BQ9" s="31">
        <v>101.3</v>
      </c>
      <c r="BR9" s="31">
        <v>78.3</v>
      </c>
      <c r="BS9" s="31">
        <v>93.1</v>
      </c>
      <c r="BT9" s="72">
        <v>79.099999999999994</v>
      </c>
      <c r="BU9" s="71">
        <v>83.4</v>
      </c>
      <c r="BV9" s="71">
        <v>84.6</v>
      </c>
      <c r="BW9" s="71">
        <v>92.7</v>
      </c>
      <c r="BX9" s="71">
        <v>70.5</v>
      </c>
      <c r="BY9" s="71">
        <v>94.3</v>
      </c>
      <c r="BZ9" s="73">
        <v>923.2</v>
      </c>
      <c r="CA9" s="73">
        <v>99.5</v>
      </c>
      <c r="CB9" s="74">
        <v>56</v>
      </c>
      <c r="CC9" s="74">
        <v>88</v>
      </c>
      <c r="CD9" s="74">
        <v>59.5</v>
      </c>
      <c r="CE9" s="74">
        <v>75.3</v>
      </c>
      <c r="CF9" s="74">
        <v>65.3</v>
      </c>
      <c r="CG9" s="74">
        <v>63</v>
      </c>
      <c r="CH9" s="74">
        <v>63.1</v>
      </c>
      <c r="CI9" s="74">
        <v>89.3</v>
      </c>
      <c r="CJ9" s="74">
        <v>64.3</v>
      </c>
      <c r="CK9" s="74">
        <v>102.7</v>
      </c>
      <c r="CL9" s="74">
        <v>77.099999999999994</v>
      </c>
      <c r="CM9" s="74">
        <v>102.8</v>
      </c>
      <c r="CN9" s="74">
        <v>72.5</v>
      </c>
      <c r="CO9" s="74">
        <v>91.3</v>
      </c>
      <c r="CP9" s="74">
        <v>52.7</v>
      </c>
      <c r="CQ9" s="74">
        <v>68.599999999999994</v>
      </c>
      <c r="CR9" s="74">
        <v>59.1</v>
      </c>
      <c r="CS9" s="74">
        <v>75.5</v>
      </c>
      <c r="CT9" s="74">
        <v>69.7</v>
      </c>
      <c r="CU9" s="74">
        <v>88.2</v>
      </c>
      <c r="CV9" s="74">
        <v>53</v>
      </c>
      <c r="CW9" s="74">
        <v>62.7</v>
      </c>
      <c r="CX9" s="74">
        <v>43.3</v>
      </c>
      <c r="CY9" s="74">
        <v>61.3</v>
      </c>
      <c r="CZ9" s="73">
        <v>735.6</v>
      </c>
      <c r="DA9" s="73">
        <v>79.7</v>
      </c>
      <c r="DB9" s="74">
        <v>29</v>
      </c>
      <c r="DC9" s="57">
        <v>51.6</v>
      </c>
      <c r="DD9" s="57">
        <v>33.5</v>
      </c>
      <c r="DE9" s="57">
        <v>56.3</v>
      </c>
      <c r="DF9" s="57">
        <v>41.6</v>
      </c>
      <c r="DG9" s="58">
        <v>63.7</v>
      </c>
      <c r="DH9" s="58">
        <v>34</v>
      </c>
      <c r="DI9" s="58">
        <v>53.9</v>
      </c>
      <c r="DJ9" s="57">
        <v>44.4</v>
      </c>
      <c r="DK9" s="58">
        <v>69</v>
      </c>
      <c r="DL9" s="75">
        <v>59.1</v>
      </c>
      <c r="DM9" s="75">
        <v>76.599999999999994</v>
      </c>
      <c r="DN9" s="68">
        <v>51.3</v>
      </c>
      <c r="DO9" s="75">
        <v>70.7</v>
      </c>
      <c r="DP9" s="75">
        <v>35.700000000000003</v>
      </c>
      <c r="DQ9" s="58">
        <v>67.8</v>
      </c>
      <c r="DR9" s="57">
        <v>38.200000000000003</v>
      </c>
      <c r="DS9" s="57">
        <v>64.599999999999994</v>
      </c>
      <c r="DT9" s="57">
        <v>48.9</v>
      </c>
      <c r="DU9" s="58">
        <v>70.099999999999994</v>
      </c>
      <c r="DV9" s="57">
        <v>38.5</v>
      </c>
      <c r="DW9" s="58">
        <v>72.7</v>
      </c>
      <c r="DX9" s="57">
        <v>38.1</v>
      </c>
      <c r="DY9" s="57">
        <v>88.2</v>
      </c>
      <c r="DZ9" s="76">
        <v>492.3</v>
      </c>
      <c r="EA9" s="76">
        <v>66.900000000000006</v>
      </c>
      <c r="EB9" s="31">
        <v>19.7</v>
      </c>
      <c r="EC9" s="58">
        <v>68.099999999999994</v>
      </c>
      <c r="ED9" s="57">
        <v>28.6</v>
      </c>
      <c r="EE9" s="58">
        <v>85.5</v>
      </c>
      <c r="EF9" s="77">
        <v>36.700000000000003</v>
      </c>
      <c r="EG9" s="57">
        <v>88.1</v>
      </c>
      <c r="EH9" s="57">
        <v>38.6</v>
      </c>
      <c r="EI9" s="58">
        <v>113.7</v>
      </c>
      <c r="EJ9" s="58">
        <v>29.8</v>
      </c>
      <c r="EK9" s="58">
        <v>67</v>
      </c>
      <c r="EL9" s="58">
        <v>34.299999999999997</v>
      </c>
      <c r="EM9" s="58">
        <v>58</v>
      </c>
      <c r="EN9" s="58">
        <v>35.1</v>
      </c>
      <c r="EO9" s="58">
        <v>68.599999999999994</v>
      </c>
      <c r="EP9" s="58">
        <v>40.9</v>
      </c>
      <c r="EQ9" s="58">
        <v>114.6</v>
      </c>
      <c r="ER9" s="58">
        <v>37.200000000000003</v>
      </c>
      <c r="ES9" s="58">
        <v>97.4</v>
      </c>
      <c r="ET9" s="58">
        <v>42.5</v>
      </c>
      <c r="EU9" s="58">
        <v>87</v>
      </c>
      <c r="EV9" s="58">
        <v>37</v>
      </c>
      <c r="EW9" s="58">
        <v>96.1</v>
      </c>
      <c r="EX9" s="58">
        <v>33.700000000000003</v>
      </c>
      <c r="EY9" s="58">
        <v>88.3</v>
      </c>
      <c r="EZ9" s="78">
        <v>414.2</v>
      </c>
      <c r="FA9" s="78">
        <v>84.1</v>
      </c>
      <c r="FB9" s="31">
        <v>26.6</v>
      </c>
      <c r="FC9" s="31">
        <v>135</v>
      </c>
      <c r="FD9" s="31">
        <v>34.5</v>
      </c>
      <c r="FE9" s="31">
        <v>120.6</v>
      </c>
      <c r="FF9" s="31">
        <v>44.9</v>
      </c>
      <c r="FG9" s="31">
        <v>122.4</v>
      </c>
      <c r="FH9" s="31">
        <v>37.200000000000003</v>
      </c>
      <c r="FI9" s="31">
        <v>96.5</v>
      </c>
      <c r="FJ9" s="31">
        <v>34.5</v>
      </c>
      <c r="FK9" s="31">
        <v>116.1</v>
      </c>
      <c r="FL9" s="31">
        <v>39.1</v>
      </c>
      <c r="FM9" s="31">
        <v>114.2</v>
      </c>
      <c r="FN9" s="31">
        <v>38.299999999999997</v>
      </c>
      <c r="FO9" s="31">
        <v>109</v>
      </c>
      <c r="FP9" s="31">
        <v>42.3</v>
      </c>
      <c r="FQ9" s="31">
        <v>103.2</v>
      </c>
      <c r="FR9" s="31">
        <v>38.9</v>
      </c>
      <c r="FS9" s="31">
        <v>104.7</v>
      </c>
      <c r="FT9" s="31">
        <v>43.6</v>
      </c>
      <c r="FU9" s="31">
        <v>102.5</v>
      </c>
      <c r="FV9" s="31">
        <v>47.7</v>
      </c>
      <c r="FW9" s="31">
        <v>128.80000000000001</v>
      </c>
      <c r="FX9" s="31">
        <v>35.1</v>
      </c>
      <c r="FY9" s="31">
        <v>104.2</v>
      </c>
      <c r="FZ9" s="78">
        <v>462.8</v>
      </c>
      <c r="GA9" s="78">
        <v>111.7</v>
      </c>
      <c r="GB9" s="31">
        <v>33.700000000000003</v>
      </c>
      <c r="GC9" s="31">
        <v>126.8</v>
      </c>
      <c r="GD9" s="31">
        <v>37</v>
      </c>
      <c r="GE9" s="31">
        <v>107.3</v>
      </c>
      <c r="GF9" s="31">
        <v>42.9</v>
      </c>
      <c r="GG9" s="31">
        <v>95.6</v>
      </c>
      <c r="GH9" s="31">
        <v>29.1</v>
      </c>
      <c r="GI9" s="31">
        <v>78.099999999999994</v>
      </c>
      <c r="GJ9" s="28">
        <v>34.700000000000003</v>
      </c>
      <c r="GK9" s="29">
        <v>100.5</v>
      </c>
      <c r="GL9" s="28">
        <v>30.8</v>
      </c>
      <c r="GM9" s="29">
        <v>78.7</v>
      </c>
      <c r="GN9" s="28">
        <v>36.9</v>
      </c>
      <c r="GO9" s="29">
        <v>96.5</v>
      </c>
      <c r="GP9" s="117">
        <v>32.1</v>
      </c>
      <c r="GQ9" s="120">
        <v>76</v>
      </c>
      <c r="GR9" s="28">
        <v>29.5</v>
      </c>
      <c r="GS9" s="29">
        <v>75.8</v>
      </c>
      <c r="GT9" s="28">
        <v>41.7</v>
      </c>
      <c r="GU9" s="120">
        <v>95.8</v>
      </c>
      <c r="GV9" s="28">
        <v>37.700000000000003</v>
      </c>
      <c r="GW9" s="117">
        <v>78.900000000000006</v>
      </c>
      <c r="GX9" s="28">
        <v>29.7</v>
      </c>
      <c r="GY9" s="128">
        <v>84.4</v>
      </c>
      <c r="GZ9" s="122">
        <v>415.9</v>
      </c>
      <c r="HA9" s="125">
        <v>89.9</v>
      </c>
      <c r="HB9" s="140">
        <v>28.9</v>
      </c>
      <c r="HC9" s="116">
        <f>IF(33742.63993="","-",28877.09062/33742.63993*100)</f>
        <v>85.580413032016139</v>
      </c>
      <c r="HD9" s="140">
        <v>35.9</v>
      </c>
      <c r="HE9" s="116">
        <f>IF(37003.13564="","-",35852.41931/37003.13564*100)</f>
        <v>96.890219409524605</v>
      </c>
      <c r="HF9" s="140">
        <v>37.4</v>
      </c>
      <c r="HG9" s="116">
        <f>IF(42920.95426="","-",37402.59476/42920.95426*100)</f>
        <v>87.142971084538985</v>
      </c>
      <c r="HH9" s="140">
        <v>36.799999999999997</v>
      </c>
      <c r="HI9" s="116">
        <f>IF(29098.11037="","-",36854.08756/29098.11037*100)</f>
        <v>126.65457341173733</v>
      </c>
      <c r="HJ9" s="140">
        <v>31.2</v>
      </c>
      <c r="HK9" s="116">
        <f>IF(34717.35634="","-",31247.85607/34717.35634*100)</f>
        <v>90.00643875062984</v>
      </c>
      <c r="HL9" s="140">
        <v>32.200000000000003</v>
      </c>
      <c r="HM9" s="116">
        <f>IF(30793.61365="","-",32170.22094/30793.61365*100)</f>
        <v>104.47043112785173</v>
      </c>
      <c r="HN9" s="140">
        <v>30.5</v>
      </c>
      <c r="HO9" s="116">
        <f>IF(36940.26209="","-",30482.09845/36940.26209*100)</f>
        <v>82.517277153406368</v>
      </c>
      <c r="HP9" s="140">
        <v>28.7</v>
      </c>
      <c r="HQ9" s="116">
        <f>IF(32121.11108="","-",28689.13223/32121.11108*100)</f>
        <v>89.315503933060086</v>
      </c>
      <c r="HR9" s="140">
        <v>40.299999999999997</v>
      </c>
      <c r="HS9" s="116">
        <f>IF(29507.86399="","-",40238.52994/29507.86399*100)</f>
        <v>136.36544466124874</v>
      </c>
      <c r="HT9" s="140">
        <v>52.9</v>
      </c>
      <c r="HU9" s="116">
        <f>IF(41741.62134="","-",52926.95481/41741.62134*100)</f>
        <v>126.7965956063172</v>
      </c>
      <c r="HV9" s="140">
        <v>49.7</v>
      </c>
      <c r="HW9" s="116">
        <f>IF(37684.20135="","-",49661.87166/37684.20135*100)</f>
        <v>131.78432839468945</v>
      </c>
      <c r="HX9" s="140">
        <v>30.5</v>
      </c>
      <c r="HY9" s="116">
        <f>IF(29651.38388="","-",30546.64891/29651.38388*100)</f>
        <v>103.0193026862529</v>
      </c>
      <c r="HZ9" s="141">
        <v>435</v>
      </c>
      <c r="IA9" s="142">
        <f>IF(415922.25392="","-",434949.50526/415922.25392*100)</f>
        <v>104.57471346163165</v>
      </c>
      <c r="IB9" s="140">
        <v>28.4</v>
      </c>
      <c r="IC9" s="117">
        <f>IF(28877.09062="","-",28440.26901/28877.09062*100)</f>
        <v>98.48730741005653</v>
      </c>
      <c r="ID9" s="140">
        <v>31.4</v>
      </c>
      <c r="IE9" s="117">
        <f>IF(35852.41931="","-",31426.45315/35852.41931*100)</f>
        <v>87.655041848834173</v>
      </c>
      <c r="IF9" s="140">
        <v>35</v>
      </c>
      <c r="IG9" s="117">
        <f>IF(37402.59476="","-",34994.39035/37402.59476*100)</f>
        <v>93.561397476692079</v>
      </c>
      <c r="IH9" s="140">
        <v>34.1</v>
      </c>
      <c r="II9" s="117">
        <f>IF(36854.08756="","-",34111.14983/36854.08756*100)</f>
        <v>92.557303920401282</v>
      </c>
      <c r="IJ9" s="28">
        <v>32.6</v>
      </c>
      <c r="IK9" s="117">
        <f>IF(31247.85607="","-",32602.44209/31247.85607*100)</f>
        <v>104.33497266809447</v>
      </c>
      <c r="IL9" s="117">
        <v>32.200000000000003</v>
      </c>
      <c r="IM9" s="117">
        <f>IF(32170.22094="","-",32250.94193/32170.22094*100)</f>
        <v>100.25091835754114</v>
      </c>
      <c r="IN9" s="28">
        <v>27</v>
      </c>
      <c r="IO9" s="117">
        <f>IF(30482.09845="","-",27026.92405/30482.09845*100)</f>
        <v>88.664906369003603</v>
      </c>
      <c r="IP9" s="28">
        <v>26.2</v>
      </c>
      <c r="IQ9" s="117">
        <f>IF(28689.13223="","-",26169.79323/28689.13223*100)</f>
        <v>91.21849005469204</v>
      </c>
      <c r="IR9" s="117">
        <v>28</v>
      </c>
      <c r="IS9" s="117">
        <f>IF(40238.52994="","-",28041.45974/40238.52994*100)</f>
        <v>69.688081999548317</v>
      </c>
      <c r="IT9" s="28">
        <v>30</v>
      </c>
      <c r="IU9" s="117">
        <f>IF(52926.95481="","-",30025.1809/52926.95481*100)</f>
        <v>56.729469903919451</v>
      </c>
      <c r="IV9" s="28">
        <v>34.9</v>
      </c>
      <c r="IW9" s="120">
        <f>IF(49661.87166="","-",34881.97111/49661.87166*100)</f>
        <v>70.238937728349001</v>
      </c>
      <c r="IX9" s="28">
        <v>37</v>
      </c>
      <c r="IY9" s="117">
        <f>IF(30546.64891="","-",36991.6222/30546.64891*100)</f>
        <v>121.09878994906744</v>
      </c>
      <c r="IZ9" s="122">
        <v>376.9</v>
      </c>
      <c r="JA9" s="125">
        <f>IF(434949.50526="","-",376962.59759/434949.50526*100)</f>
        <v>86.668128835935306</v>
      </c>
      <c r="JB9" s="201">
        <v>26.5</v>
      </c>
      <c r="JC9" s="116">
        <f>IF(28440.26901="","-",26547.50796/28440.26901*100)</f>
        <v>93.344784997165533</v>
      </c>
      <c r="JD9" s="201">
        <v>40.9</v>
      </c>
      <c r="JE9" s="116">
        <f>IF(31426.45315="","-",40863.93371/31426.45315*100)</f>
        <v>130.03037127656259</v>
      </c>
      <c r="JF9" s="201">
        <v>44.6</v>
      </c>
      <c r="JG9" s="116">
        <f>IF(34994.39035="","-",44608.46042/34994.39035*100)</f>
        <v>127.47317491130403</v>
      </c>
      <c r="JH9" s="201">
        <v>32.200000000000003</v>
      </c>
      <c r="JI9" s="116">
        <f>IF(34111.14983="","-",32244.47036/34111.14983*100)</f>
        <v>94.527655973771076</v>
      </c>
      <c r="JJ9" s="202">
        <v>29.1</v>
      </c>
      <c r="JK9" s="116">
        <f>IF(32602.44209="","-",29109.25213/32602.44209*100)</f>
        <v>89.285496005615329</v>
      </c>
      <c r="JL9" s="202">
        <v>35.1</v>
      </c>
      <c r="JM9" s="116">
        <f>IF(32250.94193="","-",35060.44007/32250.94193*100)</f>
        <v>108.71136770547029</v>
      </c>
      <c r="JN9" s="202">
        <v>35</v>
      </c>
      <c r="JO9" s="116">
        <f>IF(27026.92405="","-",34977.07789/27026.92405*100)</f>
        <v>129.41568128615805</v>
      </c>
      <c r="JP9" s="202">
        <v>39</v>
      </c>
      <c r="JQ9" s="116">
        <f>IF(26169.79323="","-",38997.4512/26169.79323*100)</f>
        <v>149.01703982626387</v>
      </c>
      <c r="JR9" s="203">
        <v>40.5</v>
      </c>
      <c r="JS9" s="116">
        <f>IF(28041.45974="","-",40543.45535/28041.45974*100)</f>
        <v>144.58396861617874</v>
      </c>
      <c r="JT9" s="223">
        <v>49.4</v>
      </c>
      <c r="JU9" s="117">
        <f>IF(30025.1809="","-",49394.39817/30025.1809*100)</f>
        <v>164.50991031331307</v>
      </c>
      <c r="JV9" s="223">
        <v>50.6</v>
      </c>
      <c r="JW9" s="120">
        <f>IF(34881.97111="","-",50637.74059/34881.97111*100)</f>
        <v>145.16880491160984</v>
      </c>
      <c r="JX9" s="223">
        <v>43.2</v>
      </c>
      <c r="JY9" s="116">
        <f>IF(36991.6222="","-",43223.28562/36991.6222*100)</f>
        <v>116.846147990774</v>
      </c>
      <c r="JZ9" s="123">
        <v>466.2</v>
      </c>
      <c r="KA9" s="125">
        <f>IF(376962.59759="","-",466207.47347/376962.59759*100)</f>
        <v>123.67472965502704</v>
      </c>
      <c r="KB9" s="155">
        <v>40.1</v>
      </c>
      <c r="KC9" s="250">
        <f>IF(26547.50796="","-",40025.77296/26547.50796*100)</f>
        <v>150.77035863519902</v>
      </c>
      <c r="KD9" s="155">
        <v>38.4</v>
      </c>
      <c r="KE9" s="250">
        <f>IF(40863.93371="","-",38382.77357/40863.93371*100)</f>
        <v>93.928239611956826</v>
      </c>
      <c r="KF9" s="155">
        <v>24.2</v>
      </c>
      <c r="KG9" s="250">
        <f>IF(44608.46042="","-",24189.34928/44608.46042*100)</f>
        <v>54.22592273360506</v>
      </c>
      <c r="KH9" s="250">
        <v>75.900000000000006</v>
      </c>
      <c r="KI9" s="250">
        <f>IF(32244.47036="","-",75913.18274/32244.47036*100)</f>
        <v>235.43008116570596</v>
      </c>
      <c r="KJ9" s="157">
        <v>106.4</v>
      </c>
      <c r="KK9" s="250">
        <f>IF(29109.25213="","-",106438.57018/29109.25213*100)</f>
        <v>365.65202604536989</v>
      </c>
      <c r="KL9" s="155">
        <v>126.1</v>
      </c>
      <c r="KM9" s="157">
        <f>IF(35060.44007="","-",126103.43858/35060.44007*100)</f>
        <v>359.67443171913391</v>
      </c>
      <c r="KN9" s="157">
        <v>106.2</v>
      </c>
      <c r="KO9" s="250">
        <f>IF(34977.07789="","-",106186.63049/34977.07789*100)</f>
        <v>303.58919868591687</v>
      </c>
      <c r="KP9" s="157">
        <v>105.2</v>
      </c>
      <c r="KQ9" s="250">
        <f>IF(38997.4512="","-",105263.43426/38997.4512*100)</f>
        <v>269.92388225618191</v>
      </c>
      <c r="KR9" s="35" t="s">
        <v>329</v>
      </c>
    </row>
    <row r="10" spans="1:408" ht="18.75">
      <c r="A10" s="35" t="s">
        <v>330</v>
      </c>
      <c r="B10" s="68">
        <v>69.900000000000006</v>
      </c>
      <c r="C10" s="68">
        <v>149.19999999999999</v>
      </c>
      <c r="D10" s="68">
        <v>84.1</v>
      </c>
      <c r="E10" s="68">
        <v>159.19999999999999</v>
      </c>
      <c r="F10" s="68">
        <v>84.8</v>
      </c>
      <c r="G10" s="68">
        <v>156.5</v>
      </c>
      <c r="H10" s="68">
        <v>88.5</v>
      </c>
      <c r="I10" s="68">
        <v>190.9</v>
      </c>
      <c r="J10" s="68">
        <v>84.3</v>
      </c>
      <c r="K10" s="68">
        <v>172.9</v>
      </c>
      <c r="L10" s="68">
        <v>82.3</v>
      </c>
      <c r="M10" s="68">
        <v>169.5</v>
      </c>
      <c r="N10" s="68">
        <v>90.3</v>
      </c>
      <c r="O10" s="68">
        <v>148.19999999999999</v>
      </c>
      <c r="P10" s="68">
        <v>97.6</v>
      </c>
      <c r="Q10" s="68">
        <v>186.4</v>
      </c>
      <c r="R10" s="68">
        <v>88.3</v>
      </c>
      <c r="S10" s="68">
        <v>135.69999999999999</v>
      </c>
      <c r="T10" s="68">
        <v>96.5</v>
      </c>
      <c r="U10" s="68">
        <v>121.1</v>
      </c>
      <c r="V10" s="69">
        <v>116</v>
      </c>
      <c r="W10" s="68">
        <v>127.9</v>
      </c>
      <c r="X10" s="68">
        <v>100.4</v>
      </c>
      <c r="Y10" s="68">
        <v>121.4</v>
      </c>
      <c r="Z10" s="70">
        <v>1083</v>
      </c>
      <c r="AA10" s="70">
        <v>148.6</v>
      </c>
      <c r="AB10" s="68">
        <v>74.8</v>
      </c>
      <c r="AC10" s="68">
        <v>107.1</v>
      </c>
      <c r="AD10" s="68">
        <v>77</v>
      </c>
      <c r="AE10" s="68">
        <v>91.7</v>
      </c>
      <c r="AF10" s="68">
        <v>100.4</v>
      </c>
      <c r="AG10" s="68">
        <v>118.4</v>
      </c>
      <c r="AH10" s="68">
        <v>84.3</v>
      </c>
      <c r="AI10" s="68">
        <v>95.3</v>
      </c>
      <c r="AJ10" s="68">
        <v>85.7</v>
      </c>
      <c r="AK10" s="68">
        <v>101.7</v>
      </c>
      <c r="AL10" s="68">
        <v>85.8</v>
      </c>
      <c r="AM10" s="68">
        <v>104.2</v>
      </c>
      <c r="AN10" s="68">
        <v>69.099999999999994</v>
      </c>
      <c r="AO10" s="68">
        <v>76.5</v>
      </c>
      <c r="AP10" s="68">
        <v>63.4</v>
      </c>
      <c r="AQ10" s="71">
        <v>65</v>
      </c>
      <c r="AR10" s="68">
        <v>80.599999999999994</v>
      </c>
      <c r="AS10" s="68">
        <v>91.3</v>
      </c>
      <c r="AT10" s="68">
        <v>97.4</v>
      </c>
      <c r="AU10" s="68">
        <v>100.9</v>
      </c>
      <c r="AV10" s="68">
        <v>103.3</v>
      </c>
      <c r="AW10" s="68">
        <v>89.1</v>
      </c>
      <c r="AX10" s="68">
        <v>91.6</v>
      </c>
      <c r="AY10" s="68">
        <v>91.2</v>
      </c>
      <c r="AZ10" s="70">
        <v>1013.4</v>
      </c>
      <c r="BA10" s="70">
        <v>93.6</v>
      </c>
      <c r="BB10" s="68">
        <v>82.3</v>
      </c>
      <c r="BC10" s="68">
        <v>110.1</v>
      </c>
      <c r="BD10" s="68">
        <v>89.9</v>
      </c>
      <c r="BE10" s="68">
        <v>116.6</v>
      </c>
      <c r="BF10" s="68">
        <v>88.1</v>
      </c>
      <c r="BG10" s="68">
        <v>87.7</v>
      </c>
      <c r="BH10" s="58">
        <v>88</v>
      </c>
      <c r="BI10" s="68">
        <v>104.3</v>
      </c>
      <c r="BJ10" s="58">
        <v>77.8</v>
      </c>
      <c r="BK10" s="68">
        <v>90.8</v>
      </c>
      <c r="BL10" s="31">
        <v>85.3</v>
      </c>
      <c r="BM10" s="31">
        <v>99.4</v>
      </c>
      <c r="BN10" s="31">
        <v>95</v>
      </c>
      <c r="BO10" s="31">
        <v>137.5</v>
      </c>
      <c r="BP10" s="31">
        <v>93.7</v>
      </c>
      <c r="BQ10" s="31">
        <v>147.6</v>
      </c>
      <c r="BR10" s="31">
        <v>87.1</v>
      </c>
      <c r="BS10" s="31">
        <v>108.1</v>
      </c>
      <c r="BT10" s="72">
        <v>116.4</v>
      </c>
      <c r="BU10" s="71">
        <v>119.4</v>
      </c>
      <c r="BV10" s="71">
        <v>131.80000000000001</v>
      </c>
      <c r="BW10" s="71">
        <v>127.6</v>
      </c>
      <c r="BX10" s="71">
        <v>101.9</v>
      </c>
      <c r="BY10" s="71">
        <v>111.1</v>
      </c>
      <c r="BZ10" s="73">
        <v>1137.3</v>
      </c>
      <c r="CA10" s="73">
        <v>112.2</v>
      </c>
      <c r="CB10" s="74">
        <v>92.2</v>
      </c>
      <c r="CC10" s="74">
        <v>112</v>
      </c>
      <c r="CD10" s="74">
        <v>105.4</v>
      </c>
      <c r="CE10" s="74">
        <v>117.3</v>
      </c>
      <c r="CF10" s="74">
        <v>121.2</v>
      </c>
      <c r="CG10" s="74">
        <v>137.6</v>
      </c>
      <c r="CH10" s="74">
        <v>94.4</v>
      </c>
      <c r="CI10" s="74">
        <v>107.4</v>
      </c>
      <c r="CJ10" s="74">
        <v>108.6</v>
      </c>
      <c r="CK10" s="74">
        <v>139.5</v>
      </c>
      <c r="CL10" s="74">
        <v>98.9</v>
      </c>
      <c r="CM10" s="74">
        <v>116</v>
      </c>
      <c r="CN10" s="74">
        <v>99</v>
      </c>
      <c r="CO10" s="74">
        <v>104.1</v>
      </c>
      <c r="CP10" s="74">
        <v>90.7</v>
      </c>
      <c r="CQ10" s="74">
        <v>96.9</v>
      </c>
      <c r="CR10" s="74">
        <v>94.3</v>
      </c>
      <c r="CS10" s="74">
        <v>108.2</v>
      </c>
      <c r="CT10" s="74">
        <v>113.4</v>
      </c>
      <c r="CU10" s="74">
        <v>97.4</v>
      </c>
      <c r="CV10" s="74">
        <v>127.4</v>
      </c>
      <c r="CW10" s="74">
        <v>96.6</v>
      </c>
      <c r="CX10" s="74">
        <v>100.5</v>
      </c>
      <c r="CY10" s="74">
        <v>98.6</v>
      </c>
      <c r="CZ10" s="73">
        <v>1246</v>
      </c>
      <c r="DA10" s="73">
        <v>109.6</v>
      </c>
      <c r="DB10" s="74">
        <v>99.8</v>
      </c>
      <c r="DC10" s="57">
        <v>108.2</v>
      </c>
      <c r="DD10" s="57">
        <v>110.9</v>
      </c>
      <c r="DE10" s="57">
        <v>105.1</v>
      </c>
      <c r="DF10" s="58">
        <v>109</v>
      </c>
      <c r="DG10" s="58">
        <v>89.9</v>
      </c>
      <c r="DH10" s="58">
        <v>94.8</v>
      </c>
      <c r="DI10" s="58">
        <v>100.4</v>
      </c>
      <c r="DJ10" s="57">
        <v>109.8</v>
      </c>
      <c r="DK10" s="58">
        <v>101.1</v>
      </c>
      <c r="DL10" s="75">
        <v>101.5</v>
      </c>
      <c r="DM10" s="75">
        <v>102.7</v>
      </c>
      <c r="DN10" s="68">
        <v>95.9</v>
      </c>
      <c r="DO10" s="68">
        <v>96.9</v>
      </c>
      <c r="DP10" s="75">
        <v>73.400000000000006</v>
      </c>
      <c r="DQ10" s="58">
        <v>80.900000000000006</v>
      </c>
      <c r="DR10" s="57">
        <v>103.8</v>
      </c>
      <c r="DS10" s="57">
        <v>110.1</v>
      </c>
      <c r="DT10" s="57">
        <v>115.7</v>
      </c>
      <c r="DU10" s="58">
        <v>102.2</v>
      </c>
      <c r="DV10" s="57">
        <v>104.7</v>
      </c>
      <c r="DW10" s="58">
        <v>82.2</v>
      </c>
      <c r="DX10" s="57">
        <v>98.3</v>
      </c>
      <c r="DY10" s="57">
        <v>97.8</v>
      </c>
      <c r="DZ10" s="76">
        <v>1217.5999999999999</v>
      </c>
      <c r="EA10" s="76">
        <v>97.7</v>
      </c>
      <c r="EB10" s="31">
        <v>78.099999999999994</v>
      </c>
      <c r="EC10" s="58">
        <v>78.2</v>
      </c>
      <c r="ED10" s="57">
        <v>89.8</v>
      </c>
      <c r="EE10" s="58">
        <v>81</v>
      </c>
      <c r="EF10" s="77">
        <v>97.7</v>
      </c>
      <c r="EG10" s="57">
        <v>89.7</v>
      </c>
      <c r="EH10" s="57">
        <v>105.9</v>
      </c>
      <c r="EI10" s="58">
        <v>111.7</v>
      </c>
      <c r="EJ10" s="58">
        <v>98.1</v>
      </c>
      <c r="EK10" s="58">
        <v>89.4</v>
      </c>
      <c r="EL10" s="58">
        <v>104</v>
      </c>
      <c r="EM10" s="58">
        <v>102.4</v>
      </c>
      <c r="EN10" s="58">
        <v>107.8</v>
      </c>
      <c r="EO10" s="58">
        <v>112.4</v>
      </c>
      <c r="EP10" s="58">
        <v>103.1</v>
      </c>
      <c r="EQ10" s="58">
        <v>140.30000000000001</v>
      </c>
      <c r="ER10" s="58">
        <v>130.1</v>
      </c>
      <c r="ES10" s="58">
        <v>125.3</v>
      </c>
      <c r="ET10" s="58">
        <v>132</v>
      </c>
      <c r="EU10" s="58">
        <v>114</v>
      </c>
      <c r="EV10" s="58">
        <v>153.19999999999999</v>
      </c>
      <c r="EW10" s="58">
        <v>146.4</v>
      </c>
      <c r="EX10" s="58">
        <v>132.19999999999999</v>
      </c>
      <c r="EY10" s="58">
        <v>134.6</v>
      </c>
      <c r="EZ10" s="78">
        <v>1331.9</v>
      </c>
      <c r="FA10" s="78">
        <v>109.4</v>
      </c>
      <c r="FB10" s="31">
        <v>92.2</v>
      </c>
      <c r="FC10" s="31">
        <v>118.2</v>
      </c>
      <c r="FD10" s="31">
        <v>117</v>
      </c>
      <c r="FE10" s="31">
        <v>130.30000000000001</v>
      </c>
      <c r="FF10" s="31">
        <v>126.4</v>
      </c>
      <c r="FG10" s="31">
        <v>129.30000000000001</v>
      </c>
      <c r="FH10" s="31">
        <v>94.1</v>
      </c>
      <c r="FI10" s="31">
        <v>88.9</v>
      </c>
      <c r="FJ10" s="31">
        <v>112.3</v>
      </c>
      <c r="FK10" s="31">
        <v>114.4</v>
      </c>
      <c r="FL10" s="31">
        <v>110.2</v>
      </c>
      <c r="FM10" s="31">
        <v>106</v>
      </c>
      <c r="FN10" s="31">
        <v>126.1</v>
      </c>
      <c r="FO10" s="31">
        <v>116.9</v>
      </c>
      <c r="FP10" s="31">
        <v>137.30000000000001</v>
      </c>
      <c r="FQ10" s="31">
        <v>133.30000000000001</v>
      </c>
      <c r="FR10" s="31">
        <v>150.9</v>
      </c>
      <c r="FS10" s="31">
        <v>116.1</v>
      </c>
      <c r="FT10" s="31">
        <v>187.9</v>
      </c>
      <c r="FU10" s="31">
        <v>142.30000000000001</v>
      </c>
      <c r="FV10" s="31">
        <v>185.2</v>
      </c>
      <c r="FW10" s="31">
        <v>120.9</v>
      </c>
      <c r="FX10" s="31">
        <v>157.30000000000001</v>
      </c>
      <c r="FY10" s="31">
        <v>119</v>
      </c>
      <c r="FZ10" s="78">
        <v>1596.9</v>
      </c>
      <c r="GA10" s="78">
        <v>119.9</v>
      </c>
      <c r="GB10" s="31">
        <v>150.9</v>
      </c>
      <c r="GC10" s="31">
        <v>163.6</v>
      </c>
      <c r="GD10" s="31">
        <v>142.1</v>
      </c>
      <c r="GE10" s="31">
        <v>121.4</v>
      </c>
      <c r="GF10" s="31">
        <v>161.4</v>
      </c>
      <c r="GG10" s="31">
        <v>127.7</v>
      </c>
      <c r="GH10" s="31">
        <v>140.30000000000001</v>
      </c>
      <c r="GI10" s="31">
        <v>149.19999999999999</v>
      </c>
      <c r="GJ10" s="28">
        <v>152</v>
      </c>
      <c r="GK10" s="29">
        <v>135.30000000000001</v>
      </c>
      <c r="GL10" s="28">
        <v>153.69999999999999</v>
      </c>
      <c r="GM10" s="29">
        <v>139.6</v>
      </c>
      <c r="GN10" s="28">
        <v>152.9</v>
      </c>
      <c r="GO10" s="29">
        <v>121.3</v>
      </c>
      <c r="GP10" s="117">
        <v>160.19999999999999</v>
      </c>
      <c r="GQ10" s="120">
        <v>116.7</v>
      </c>
      <c r="GR10" s="28">
        <v>150.1</v>
      </c>
      <c r="GS10" s="29">
        <v>99.5</v>
      </c>
      <c r="GT10" s="28">
        <v>177.9</v>
      </c>
      <c r="GU10" s="120">
        <v>94.6</v>
      </c>
      <c r="GV10" s="28">
        <v>184.4</v>
      </c>
      <c r="GW10" s="117">
        <v>99.5</v>
      </c>
      <c r="GX10" s="28">
        <v>136</v>
      </c>
      <c r="GY10" s="128">
        <v>86.5</v>
      </c>
      <c r="GZ10" s="122">
        <v>1861.9</v>
      </c>
      <c r="HA10" s="125">
        <v>116.6</v>
      </c>
      <c r="HB10" s="140">
        <v>155.5</v>
      </c>
      <c r="HC10" s="116">
        <f>IF(150851.07389="","-",155470.17932/150851.07389*100)</f>
        <v>103.06203019367845</v>
      </c>
      <c r="HD10" s="140">
        <v>151.1</v>
      </c>
      <c r="HE10" s="116">
        <f>IF(142096.65327="","-",151106.58542/142096.65327*100)</f>
        <v>106.34070679545144</v>
      </c>
      <c r="HF10" s="140">
        <v>164.2</v>
      </c>
      <c r="HG10" s="116">
        <f>IF(161411.62643="","-",164204.95263/161411.62643*100)</f>
        <v>101.73056071720545</v>
      </c>
      <c r="HH10" s="140">
        <v>131.30000000000001</v>
      </c>
      <c r="HI10" s="116">
        <f>IF(140318.42376="","-",131266.66594/140318.42376*100)</f>
        <v>93.549130914211176</v>
      </c>
      <c r="HJ10" s="140">
        <v>139.9</v>
      </c>
      <c r="HK10" s="116">
        <f>IF(151988.60535="","-",139895.36937/151988.60535*100)</f>
        <v>92.043327226964394</v>
      </c>
      <c r="HL10" s="140">
        <v>138.1</v>
      </c>
      <c r="HM10" s="116">
        <f>IF(153712.68264="","-",138166.47449/153712.68264*100)</f>
        <v>89.886190337065599</v>
      </c>
      <c r="HN10" s="140">
        <v>153.80000000000001</v>
      </c>
      <c r="HO10" s="116">
        <f>IF(152931.68359="","-",153807.01612/152931.68359*100)</f>
        <v>100.5723683343124</v>
      </c>
      <c r="HP10" s="140">
        <v>139.80000000000001</v>
      </c>
      <c r="HQ10" s="116">
        <f>IF(160227.57505="","-",139766.41508/160227.57505*100)</f>
        <v>87.229938439987649</v>
      </c>
      <c r="HR10" s="140">
        <v>154.69999999999999</v>
      </c>
      <c r="HS10" s="116">
        <f>IF(150080.89184="","-",154748.04888/150080.89184*100)</f>
        <v>103.1097609980727</v>
      </c>
      <c r="HT10" s="140">
        <v>174.9</v>
      </c>
      <c r="HU10" s="116">
        <f>IF(177842.19342="","-",174880.71251/177842.19342*100)</f>
        <v>98.334770364080015</v>
      </c>
      <c r="HV10" s="140">
        <v>179.6</v>
      </c>
      <c r="HW10" s="116">
        <f>IF(184359.22301="","-",179644.11504/184359.22301*100)</f>
        <v>97.442434453228174</v>
      </c>
      <c r="HX10" s="140">
        <v>147.6</v>
      </c>
      <c r="HY10" s="116">
        <f>IF(136043.33046="","-",147591.85203/136043.33046*100)</f>
        <v>108.48885537493919</v>
      </c>
      <c r="HZ10" s="141">
        <v>1830.5</v>
      </c>
      <c r="IA10" s="142">
        <f>IF(1861863.96271="","-",1830548.38683/1861863.96271*100)</f>
        <v>98.318052419124143</v>
      </c>
      <c r="IB10" s="140">
        <v>148.1</v>
      </c>
      <c r="IC10" s="117">
        <f>IF(152505.22066="","-",148053.6224/152505.22066*100)</f>
        <v>97.081019101684035</v>
      </c>
      <c r="ID10" s="140">
        <v>162.1</v>
      </c>
      <c r="IE10" s="117">
        <f>IF(146464.16767="","-",162101.77602/146464.16767*100)</f>
        <v>110.67674681034151</v>
      </c>
      <c r="IF10" s="140">
        <v>137.30000000000001</v>
      </c>
      <c r="IG10" s="117">
        <f>IF(159919.29214="","-",137283.99856/159919.29214*100)</f>
        <v>85.845801793454584</v>
      </c>
      <c r="IH10" s="140">
        <v>82.1</v>
      </c>
      <c r="II10" s="117">
        <f>IF(126392.05006="","-",82124.102/126392.05006*100)</f>
        <v>64.97568633550496</v>
      </c>
      <c r="IJ10" s="28">
        <v>88.8</v>
      </c>
      <c r="IK10" s="117">
        <f>IF(135203.22163="","-",88758.80948/135203.22163*100)</f>
        <v>65.648442699759954</v>
      </c>
      <c r="IL10" s="117">
        <v>124.3</v>
      </c>
      <c r="IM10" s="117">
        <f>IF(133480.57321="","-",124255.96771/133480.57321*100)</f>
        <v>93.089177489905381</v>
      </c>
      <c r="IN10" s="28">
        <v>132.9</v>
      </c>
      <c r="IO10" s="117">
        <f>IF(147545.50704="","-",132944.07567/147545.50704*100)</f>
        <v>90.103777700230808</v>
      </c>
      <c r="IP10" s="28">
        <v>115.5</v>
      </c>
      <c r="IQ10" s="117">
        <f>IF(136562.43258="","-",115532.96445/136562.43258*100)</f>
        <v>84.600839533463443</v>
      </c>
      <c r="IR10" s="117">
        <v>150.1</v>
      </c>
      <c r="IS10" s="117">
        <f>IF(151398.18967="","-",150043.17916/151398.18967*100)</f>
        <v>99.105002171456945</v>
      </c>
      <c r="IT10" s="28">
        <v>181.4</v>
      </c>
      <c r="IU10" s="117">
        <f>IF(171817.45559="","-",181355.25849/171817.45559*100)</f>
        <v>105.55112568001218</v>
      </c>
      <c r="IV10" s="28">
        <v>179.9</v>
      </c>
      <c r="IW10" s="117">
        <f>IF(175601.6381="","-",179932.22256/175601.6381*100)</f>
        <v>102.46614126545552</v>
      </c>
      <c r="IX10" s="28">
        <v>138</v>
      </c>
      <c r="IY10" s="117">
        <f>IF(143722.51294="","-",137981.54915/143722.51294*100)</f>
        <v>96.005522257743522</v>
      </c>
      <c r="IZ10" s="122">
        <v>1640.4</v>
      </c>
      <c r="JA10" s="125">
        <f>IF(1780612.26129="","-",1640367.52565/1780612.26129*100)</f>
        <v>92.123791423383935</v>
      </c>
      <c r="JB10" s="201">
        <v>130.69999999999999</v>
      </c>
      <c r="JC10" s="116">
        <f>IF(148053.6224="","-",130731.85114/148053.6224*100)</f>
        <v>88.30033944512256</v>
      </c>
      <c r="JD10" s="201">
        <v>139.80000000000001</v>
      </c>
      <c r="JE10" s="116">
        <f>IF(162101.77602="","-",139858.81563/162101.77602*100)</f>
        <v>86.278398092778659</v>
      </c>
      <c r="JF10" s="201">
        <v>169.1</v>
      </c>
      <c r="JG10" s="116">
        <f>IF(137283.99856="","-",169129.83402/137283.99856*100)</f>
        <v>123.19704830427251</v>
      </c>
      <c r="JH10" s="201">
        <v>142.19999999999999</v>
      </c>
      <c r="JI10" s="116">
        <f>IF(82124.102="","-",142225.76091/82124.102*100)</f>
        <v>173.18394654714155</v>
      </c>
      <c r="JJ10" s="202">
        <v>139</v>
      </c>
      <c r="JK10" s="116">
        <f>IF(88758.80948="","-",138960.93032/88758.80948*100)</f>
        <v>156.56015570072742</v>
      </c>
      <c r="JL10" s="202">
        <v>138.4</v>
      </c>
      <c r="JM10" s="116">
        <f>IF(124255.96771="","-",138416.45147/124255.96771*100)</f>
        <v>111.39622025482836</v>
      </c>
      <c r="JN10" s="202">
        <v>150.4</v>
      </c>
      <c r="JO10" s="116">
        <f>IF(132944.07567="","-",150438.62351/132944.07567*100)</f>
        <v>113.15932865141414</v>
      </c>
      <c r="JP10" s="202">
        <v>122.2</v>
      </c>
      <c r="JQ10" s="116">
        <f>IF(115532.96445="","-",122199.59872/115532.96445*100)</f>
        <v>105.77033083305429</v>
      </c>
      <c r="JR10" s="203">
        <v>157.19999999999999</v>
      </c>
      <c r="JS10" s="116">
        <f>IF(150043.17916="","-",157187.70863/150043.17916*100)</f>
        <v>104.76164895331988</v>
      </c>
      <c r="JT10" s="223">
        <v>220.1</v>
      </c>
      <c r="JU10" s="117">
        <f>IF(181355.25849="","-",220118.02264/181355.25849*100)</f>
        <v>121.37394000744533</v>
      </c>
      <c r="JV10" s="223">
        <v>219.3</v>
      </c>
      <c r="JW10" s="120">
        <f>IF(179932.22256="","-",219256.21924/179932.22256*100)</f>
        <v>121.85489409318393</v>
      </c>
      <c r="JX10" s="223">
        <v>191</v>
      </c>
      <c r="JY10" s="116">
        <f>IF(137981.54915="","-",191008.15718/137981.54915*100)</f>
        <v>138.43021647217097</v>
      </c>
      <c r="JZ10" s="122">
        <v>1919.5</v>
      </c>
      <c r="KA10" s="125">
        <f>IF(1640367.52565="","-",1919531.97341/1640367.52565*100)</f>
        <v>117.01840858190486</v>
      </c>
      <c r="KB10" s="155">
        <v>199.7</v>
      </c>
      <c r="KC10" s="250">
        <f>IF(130731.85114="","-",199707.56287/130731.85114*100)</f>
        <v>152.76121398765653</v>
      </c>
      <c r="KD10" s="155">
        <v>215</v>
      </c>
      <c r="KE10" s="250">
        <f>IF(139858.81563="","-",215025.7366/139858.81563*100)</f>
        <v>153.74485736305388</v>
      </c>
      <c r="KF10" s="155">
        <v>299.2</v>
      </c>
      <c r="KG10" s="250">
        <f>IF(169129.83402="","-",299203.09653/169129.83402*100)</f>
        <v>176.90734355868787</v>
      </c>
      <c r="KH10" s="250">
        <v>257.39999999999998</v>
      </c>
      <c r="KI10" s="250">
        <f>IF(142225.76091="","-",257409.54513/142225.76091*100)</f>
        <v>180.9865832202423</v>
      </c>
      <c r="KJ10" s="157">
        <v>237.2</v>
      </c>
      <c r="KK10" s="250">
        <f>IF(138960.93032="","-",237236.9236/138960.93032*100)</f>
        <v>170.72203176366872</v>
      </c>
      <c r="KL10" s="155">
        <v>201.7</v>
      </c>
      <c r="KM10" s="157">
        <f>IF(138416.45147="","-",201699.42938/138416.45147*100)</f>
        <v>145.71926041877742</v>
      </c>
      <c r="KN10" s="157">
        <v>176.8</v>
      </c>
      <c r="KO10" s="250">
        <f>IF(150438.62351="","-",176792.82955/150438.62351*100)</f>
        <v>117.51824460042882</v>
      </c>
      <c r="KP10" s="157">
        <v>172.2</v>
      </c>
      <c r="KQ10" s="250">
        <f>IF(122199.59872="","-",172176.6529/122199.59872*100)</f>
        <v>140.89788731181849</v>
      </c>
      <c r="KR10" s="35" t="s">
        <v>330</v>
      </c>
    </row>
    <row r="11" spans="1:408">
      <c r="A11" s="35" t="s">
        <v>169</v>
      </c>
      <c r="B11" s="68">
        <v>22</v>
      </c>
      <c r="C11" s="68">
        <v>283.10000000000002</v>
      </c>
      <c r="D11" s="68">
        <v>20.3</v>
      </c>
      <c r="E11" s="68">
        <v>171.3</v>
      </c>
      <c r="F11" s="68">
        <v>16.600000000000001</v>
      </c>
      <c r="G11" s="68">
        <v>123.5</v>
      </c>
      <c r="H11" s="68">
        <v>16.5</v>
      </c>
      <c r="I11" s="68">
        <v>151.19999999999999</v>
      </c>
      <c r="J11" s="68">
        <v>19.600000000000001</v>
      </c>
      <c r="K11" s="68">
        <v>105.3</v>
      </c>
      <c r="L11" s="68">
        <v>18</v>
      </c>
      <c r="M11" s="68">
        <v>205.6</v>
      </c>
      <c r="N11" s="68">
        <v>11.7</v>
      </c>
      <c r="O11" s="68">
        <v>81.099999999999994</v>
      </c>
      <c r="P11" s="68">
        <v>11.2</v>
      </c>
      <c r="Q11" s="68">
        <v>59.3</v>
      </c>
      <c r="R11" s="68">
        <v>12.5</v>
      </c>
      <c r="S11" s="68">
        <v>74.900000000000006</v>
      </c>
      <c r="T11" s="68">
        <v>17.100000000000001</v>
      </c>
      <c r="U11" s="68">
        <v>101.2</v>
      </c>
      <c r="V11" s="69">
        <v>25.6</v>
      </c>
      <c r="W11" s="68">
        <v>103.6</v>
      </c>
      <c r="X11" s="68">
        <v>23.4</v>
      </c>
      <c r="Y11" s="68">
        <v>91.7</v>
      </c>
      <c r="Z11" s="70">
        <v>214.5</v>
      </c>
      <c r="AA11" s="70">
        <v>113.8</v>
      </c>
      <c r="AB11" s="68">
        <v>18.2</v>
      </c>
      <c r="AC11" s="68">
        <v>83.2</v>
      </c>
      <c r="AD11" s="68">
        <v>15</v>
      </c>
      <c r="AE11" s="68">
        <v>73.900000000000006</v>
      </c>
      <c r="AF11" s="68">
        <v>18.100000000000001</v>
      </c>
      <c r="AG11" s="68">
        <v>109.4</v>
      </c>
      <c r="AH11" s="68">
        <v>19.5</v>
      </c>
      <c r="AI11" s="68">
        <v>118.2</v>
      </c>
      <c r="AJ11" s="68">
        <v>18.399999999999999</v>
      </c>
      <c r="AK11" s="68">
        <v>93.7</v>
      </c>
      <c r="AL11" s="68">
        <v>16.100000000000001</v>
      </c>
      <c r="AM11" s="68">
        <v>89.3</v>
      </c>
      <c r="AN11" s="68">
        <v>14.9</v>
      </c>
      <c r="AO11" s="68">
        <v>126.6</v>
      </c>
      <c r="AP11" s="68">
        <v>17.399999999999999</v>
      </c>
      <c r="AQ11" s="71">
        <v>155.30000000000001</v>
      </c>
      <c r="AR11" s="68">
        <v>22.4</v>
      </c>
      <c r="AS11" s="68">
        <v>179.3</v>
      </c>
      <c r="AT11" s="68">
        <v>18</v>
      </c>
      <c r="AU11" s="68">
        <v>105.5</v>
      </c>
      <c r="AV11" s="68">
        <v>21.4</v>
      </c>
      <c r="AW11" s="68">
        <v>83.5</v>
      </c>
      <c r="AX11" s="68">
        <v>20.9</v>
      </c>
      <c r="AY11" s="68">
        <v>89.2</v>
      </c>
      <c r="AZ11" s="70">
        <v>220.4</v>
      </c>
      <c r="BA11" s="70">
        <v>102.7</v>
      </c>
      <c r="BB11" s="68">
        <v>19.399999999999999</v>
      </c>
      <c r="BC11" s="68">
        <v>106</v>
      </c>
      <c r="BD11" s="68">
        <v>31.9</v>
      </c>
      <c r="BE11" s="68">
        <v>213.5</v>
      </c>
      <c r="BF11" s="68">
        <v>31.8</v>
      </c>
      <c r="BG11" s="68">
        <v>175.4</v>
      </c>
      <c r="BH11" s="58">
        <v>34.4</v>
      </c>
      <c r="BI11" s="68">
        <v>177.2</v>
      </c>
      <c r="BJ11" s="58">
        <v>27.5</v>
      </c>
      <c r="BK11" s="68">
        <v>149.6</v>
      </c>
      <c r="BL11" s="31">
        <v>25.3</v>
      </c>
      <c r="BM11" s="31">
        <v>157.5</v>
      </c>
      <c r="BN11" s="31">
        <v>30.4</v>
      </c>
      <c r="BO11" s="31">
        <v>204.7</v>
      </c>
      <c r="BP11" s="31">
        <v>32.5</v>
      </c>
      <c r="BQ11" s="31">
        <v>187.1</v>
      </c>
      <c r="BR11" s="31">
        <v>31.7</v>
      </c>
      <c r="BS11" s="31">
        <v>141.4</v>
      </c>
      <c r="BT11" s="72">
        <v>32</v>
      </c>
      <c r="BU11" s="71">
        <v>178.9</v>
      </c>
      <c r="BV11" s="71">
        <v>38.6</v>
      </c>
      <c r="BW11" s="71">
        <v>180.8</v>
      </c>
      <c r="BX11" s="71">
        <v>32.299999999999997</v>
      </c>
      <c r="BY11" s="71">
        <v>155.69999999999999</v>
      </c>
      <c r="BZ11" s="73">
        <v>367.8</v>
      </c>
      <c r="CA11" s="73">
        <v>167.3</v>
      </c>
      <c r="CB11" s="74">
        <v>22.5</v>
      </c>
      <c r="CC11" s="74">
        <v>116.1</v>
      </c>
      <c r="CD11" s="74">
        <v>23.3</v>
      </c>
      <c r="CE11" s="74">
        <v>72.7</v>
      </c>
      <c r="CF11" s="74">
        <v>27.6</v>
      </c>
      <c r="CG11" s="74">
        <v>86.8</v>
      </c>
      <c r="CH11" s="74">
        <v>37</v>
      </c>
      <c r="CI11" s="74">
        <v>107.6</v>
      </c>
      <c r="CJ11" s="74">
        <v>28.8</v>
      </c>
      <c r="CK11" s="74">
        <v>104.6</v>
      </c>
      <c r="CL11" s="74">
        <v>27</v>
      </c>
      <c r="CM11" s="74">
        <v>106.9</v>
      </c>
      <c r="CN11" s="74">
        <v>32.799999999999997</v>
      </c>
      <c r="CO11" s="74">
        <v>108</v>
      </c>
      <c r="CP11" s="74">
        <v>32.700000000000003</v>
      </c>
      <c r="CQ11" s="74">
        <v>100.7</v>
      </c>
      <c r="CR11" s="74">
        <v>31.4</v>
      </c>
      <c r="CS11" s="74">
        <v>99.2</v>
      </c>
      <c r="CT11" s="74">
        <v>29.4</v>
      </c>
      <c r="CU11" s="74">
        <v>91.7</v>
      </c>
      <c r="CV11" s="74">
        <v>27.9</v>
      </c>
      <c r="CW11" s="74">
        <v>72.3</v>
      </c>
      <c r="CX11" s="74">
        <v>37.5</v>
      </c>
      <c r="CY11" s="74">
        <v>116.3</v>
      </c>
      <c r="CZ11" s="73">
        <v>357.9</v>
      </c>
      <c r="DA11" s="73">
        <v>97.3</v>
      </c>
      <c r="DB11" s="74">
        <v>18.899999999999999</v>
      </c>
      <c r="DC11" s="57">
        <v>84.1</v>
      </c>
      <c r="DD11" s="57">
        <v>21.1</v>
      </c>
      <c r="DE11" s="57">
        <v>90.8</v>
      </c>
      <c r="DF11" s="57">
        <v>24.1</v>
      </c>
      <c r="DG11" s="58">
        <v>87.4</v>
      </c>
      <c r="DH11" s="58">
        <v>22.5</v>
      </c>
      <c r="DI11" s="58">
        <v>60.9</v>
      </c>
      <c r="DJ11" s="57">
        <v>18.7</v>
      </c>
      <c r="DK11" s="58">
        <v>65.099999999999994</v>
      </c>
      <c r="DL11" s="68">
        <v>20</v>
      </c>
      <c r="DM11" s="75">
        <v>73.8</v>
      </c>
      <c r="DN11" s="68">
        <v>17.600000000000001</v>
      </c>
      <c r="DO11" s="75">
        <v>53.6</v>
      </c>
      <c r="DP11" s="75">
        <v>17.7</v>
      </c>
      <c r="DQ11" s="58">
        <v>54</v>
      </c>
      <c r="DR11" s="57">
        <v>21.3</v>
      </c>
      <c r="DS11" s="57">
        <v>68.099999999999994</v>
      </c>
      <c r="DT11" s="57">
        <v>23.9</v>
      </c>
      <c r="DU11" s="58">
        <v>81.099999999999994</v>
      </c>
      <c r="DV11" s="58">
        <v>24</v>
      </c>
      <c r="DW11" s="58">
        <v>86.1</v>
      </c>
      <c r="DX11" s="57">
        <v>27.1</v>
      </c>
      <c r="DY11" s="57">
        <v>72.2</v>
      </c>
      <c r="DZ11" s="79">
        <v>256.89999999999998</v>
      </c>
      <c r="EA11" s="79">
        <v>71.8</v>
      </c>
      <c r="EB11" s="31">
        <v>19</v>
      </c>
      <c r="EC11" s="58">
        <v>100.5</v>
      </c>
      <c r="ED11" s="57">
        <v>20.100000000000001</v>
      </c>
      <c r="EE11" s="58">
        <v>94.9</v>
      </c>
      <c r="EF11" s="77">
        <v>26.9</v>
      </c>
      <c r="EG11" s="57">
        <v>111.6</v>
      </c>
      <c r="EH11" s="58">
        <v>34</v>
      </c>
      <c r="EI11" s="58">
        <v>150.9</v>
      </c>
      <c r="EJ11" s="58">
        <v>25.1</v>
      </c>
      <c r="EK11" s="58">
        <v>134</v>
      </c>
      <c r="EL11" s="58">
        <v>19.100000000000001</v>
      </c>
      <c r="EM11" s="58">
        <v>95.9</v>
      </c>
      <c r="EN11" s="58">
        <v>22.7</v>
      </c>
      <c r="EO11" s="58">
        <v>129.1</v>
      </c>
      <c r="EP11" s="58">
        <v>24</v>
      </c>
      <c r="EQ11" s="58">
        <v>136.19999999999999</v>
      </c>
      <c r="ER11" s="58">
        <v>26.3</v>
      </c>
      <c r="ES11" s="58">
        <v>123.2</v>
      </c>
      <c r="ET11" s="58">
        <v>26.3</v>
      </c>
      <c r="EU11" s="58">
        <v>110.2</v>
      </c>
      <c r="EV11" s="58">
        <v>27.4</v>
      </c>
      <c r="EW11" s="58">
        <v>114</v>
      </c>
      <c r="EX11" s="58">
        <v>27.6</v>
      </c>
      <c r="EY11" s="58">
        <v>101.8</v>
      </c>
      <c r="EZ11" s="78">
        <v>298.5</v>
      </c>
      <c r="FA11" s="78">
        <v>116.2</v>
      </c>
      <c r="FB11" s="31">
        <v>20.7</v>
      </c>
      <c r="FC11" s="31">
        <v>108.6</v>
      </c>
      <c r="FD11" s="31">
        <v>25.1</v>
      </c>
      <c r="FE11" s="31">
        <v>125</v>
      </c>
      <c r="FF11" s="31">
        <v>40.799999999999997</v>
      </c>
      <c r="FG11" s="31">
        <v>151.69999999999999</v>
      </c>
      <c r="FH11" s="31">
        <v>22.9</v>
      </c>
      <c r="FI11" s="31">
        <v>67.400000000000006</v>
      </c>
      <c r="FJ11" s="31">
        <v>27.9</v>
      </c>
      <c r="FK11" s="31">
        <v>111.3</v>
      </c>
      <c r="FL11" s="31">
        <v>21.8</v>
      </c>
      <c r="FM11" s="31">
        <v>113.9</v>
      </c>
      <c r="FN11" s="31">
        <v>27.2</v>
      </c>
      <c r="FO11" s="31">
        <v>120</v>
      </c>
      <c r="FP11" s="31">
        <v>28.3</v>
      </c>
      <c r="FQ11" s="31">
        <v>117.8</v>
      </c>
      <c r="FR11" s="31">
        <v>34.1</v>
      </c>
      <c r="FS11" s="31">
        <v>129.30000000000001</v>
      </c>
      <c r="FT11" s="31">
        <v>36.700000000000003</v>
      </c>
      <c r="FU11" s="31">
        <v>139.80000000000001</v>
      </c>
      <c r="FV11" s="31">
        <v>39.200000000000003</v>
      </c>
      <c r="FW11" s="31">
        <v>142.9</v>
      </c>
      <c r="FX11" s="31">
        <v>40.700000000000003</v>
      </c>
      <c r="FY11" s="31">
        <v>147.5</v>
      </c>
      <c r="FZ11" s="78">
        <v>365.3</v>
      </c>
      <c r="GA11" s="78">
        <v>122.4</v>
      </c>
      <c r="GB11" s="31">
        <v>35.700000000000003</v>
      </c>
      <c r="GC11" s="31">
        <v>173.1</v>
      </c>
      <c r="GD11" s="31">
        <v>36.4</v>
      </c>
      <c r="GE11" s="31">
        <v>145.1</v>
      </c>
      <c r="GF11" s="31">
        <v>37.799999999999997</v>
      </c>
      <c r="GG11" s="31">
        <v>92.6</v>
      </c>
      <c r="GH11" s="31">
        <v>30.3</v>
      </c>
      <c r="GI11" s="31">
        <v>132.4</v>
      </c>
      <c r="GJ11" s="26">
        <v>36.299999999999997</v>
      </c>
      <c r="GK11" s="27">
        <v>130.30000000000001</v>
      </c>
      <c r="GL11" s="26">
        <v>29.6</v>
      </c>
      <c r="GM11" s="29">
        <v>135.9</v>
      </c>
      <c r="GN11" s="26">
        <v>29</v>
      </c>
      <c r="GO11" s="29">
        <v>106.3</v>
      </c>
      <c r="GP11" s="116">
        <v>26.3</v>
      </c>
      <c r="GQ11" s="120">
        <v>92.7</v>
      </c>
      <c r="GR11" s="26">
        <v>27.7</v>
      </c>
      <c r="GS11" s="29">
        <v>81.3</v>
      </c>
      <c r="GT11" s="26">
        <v>39.4</v>
      </c>
      <c r="GU11" s="120">
        <v>107.2</v>
      </c>
      <c r="GV11" s="26">
        <v>46.8</v>
      </c>
      <c r="GW11" s="117">
        <v>119.6</v>
      </c>
      <c r="GX11" s="26">
        <v>53.1</v>
      </c>
      <c r="GY11" s="128">
        <v>130.6</v>
      </c>
      <c r="GZ11" s="123">
        <v>428.4</v>
      </c>
      <c r="HA11" s="125">
        <v>117.3</v>
      </c>
      <c r="HB11" s="140">
        <v>49.9</v>
      </c>
      <c r="HC11" s="116">
        <f>IF(35728.02448="","-",49906.81841/35728.02448*100)</f>
        <v>139.68535662512511</v>
      </c>
      <c r="HD11" s="140">
        <v>54.4</v>
      </c>
      <c r="HE11" s="116">
        <f>IF(36372.52478="","-",54450.83608/36372.52478*100)</f>
        <v>149.7032070480316</v>
      </c>
      <c r="HF11" s="140">
        <v>55.6</v>
      </c>
      <c r="HG11" s="116">
        <f>IF(37788.8009="","-",55624.49944/37788.8009*100)</f>
        <v>147.19837125077976</v>
      </c>
      <c r="HH11" s="140">
        <v>47.5</v>
      </c>
      <c r="HI11" s="116">
        <f>IF(30319.0499="","-",47450.14053/30319.0499*100)</f>
        <v>156.50272909772147</v>
      </c>
      <c r="HJ11" s="140">
        <v>39.4</v>
      </c>
      <c r="HK11" s="116">
        <f>IF(36317.38209="","-",39391.04368/36317.38209*100)</f>
        <v>108.46333467093801</v>
      </c>
      <c r="HL11" s="140">
        <v>31.9</v>
      </c>
      <c r="HM11" s="116">
        <f>IF(29616.87936="","-",31875.64322/29616.87936*100)</f>
        <v>107.62660992248443</v>
      </c>
      <c r="HN11" s="140">
        <v>35.9</v>
      </c>
      <c r="HO11" s="116">
        <f>IF(28960.82425="","-",35877.53564/28960.82425*100)</f>
        <v>123.8829921769233</v>
      </c>
      <c r="HP11" s="140">
        <v>37.299999999999997</v>
      </c>
      <c r="HQ11" s="116">
        <f>IF(26253.14195="","-",37347.74389/26253.14195*100)</f>
        <v>142.26009199634103</v>
      </c>
      <c r="HR11" s="140">
        <v>43.8</v>
      </c>
      <c r="HS11" s="116">
        <f>IF(27715.31795="","-",43807.54664/27715.31795*100)</f>
        <v>158.06258011916475</v>
      </c>
      <c r="HT11" s="140">
        <v>40.5</v>
      </c>
      <c r="HU11" s="116">
        <f>IF(39381.6678="","-",40534.92091/39381.6678*100)</f>
        <v>102.92840088910606</v>
      </c>
      <c r="HV11" s="140">
        <v>37.299999999999997</v>
      </c>
      <c r="HW11" s="116">
        <f>IF(46800.48138="","-",37246.53059/46800.48138*100)</f>
        <v>79.585785213562275</v>
      </c>
      <c r="HX11" s="140">
        <v>40.200000000000003</v>
      </c>
      <c r="HY11" s="116">
        <f>IF(53132.98995="","-",40153.31406/53132.98995*100)</f>
        <v>75.57134295996832</v>
      </c>
      <c r="HZ11" s="141">
        <v>513.70000000000005</v>
      </c>
      <c r="IA11" s="142">
        <f>IF(428387.08479="","-",513666.57309/428387.08479*100)</f>
        <v>119.9071100245249</v>
      </c>
      <c r="IB11" s="140">
        <v>43</v>
      </c>
      <c r="IC11" s="117">
        <f>IF(52871.77707="","-",42978.213/52871.77707*100)</f>
        <v>81.287627126848164</v>
      </c>
      <c r="ID11" s="140">
        <v>51.8</v>
      </c>
      <c r="IE11" s="117">
        <f>IF(59093.25383="","-",51796.22657/59093.25383*100)</f>
        <v>87.65167462094378</v>
      </c>
      <c r="IF11" s="140">
        <v>37.9</v>
      </c>
      <c r="IG11" s="117">
        <f>IF(59910.15993="","-",37952.24423/59910.15993*100)</f>
        <v>63.348594419283835</v>
      </c>
      <c r="IH11" s="140">
        <v>33.6</v>
      </c>
      <c r="II11" s="117">
        <f>IF(52324.75641="","-",33624.58118/52324.75641*100)</f>
        <v>64.261323868435369</v>
      </c>
      <c r="IJ11" s="26">
        <v>34.299999999999997</v>
      </c>
      <c r="IK11" s="117">
        <f>IF(44083.19142="","-",34349.47921/44083.19142*100)</f>
        <v>77.919674378239449</v>
      </c>
      <c r="IL11" s="117">
        <v>33.1</v>
      </c>
      <c r="IM11" s="117">
        <f>IF(36561.5445="","-",33071.86992/36561.5445*100)</f>
        <v>90.455341458564462</v>
      </c>
      <c r="IN11" s="26">
        <v>31.2</v>
      </c>
      <c r="IO11" s="117">
        <f>IF(42139.04472="","-",31159.33093/42139.04472*100)</f>
        <v>73.944084724851834</v>
      </c>
      <c r="IP11" s="26">
        <v>22.2</v>
      </c>
      <c r="IQ11" s="117">
        <f>IF(40551.72639="","-",22206.82972/40551.72639*100)</f>
        <v>54.761736914550141</v>
      </c>
      <c r="IR11" s="117">
        <v>34.200000000000003</v>
      </c>
      <c r="IS11" s="117">
        <f>IF(47157.40585="","-",34174.49429/47157.40585*100)</f>
        <v>72.468986947041742</v>
      </c>
      <c r="IT11" s="26">
        <v>38</v>
      </c>
      <c r="IU11" s="117">
        <f>IF(43598.17783="","-",37972.78919/43598.17783*100)</f>
        <v>87.097193231481441</v>
      </c>
      <c r="IV11" s="26">
        <v>47.2</v>
      </c>
      <c r="IW11" s="120">
        <f>IF(41289.00753="","-",47220.78353/41289.00753*100)</f>
        <v>114.36647755626011</v>
      </c>
      <c r="IX11" s="26">
        <v>43.3</v>
      </c>
      <c r="IY11" s="117">
        <f>IF(44022.65315="","-",43269.11467/44022.65315*100)</f>
        <v>98.288293807662072</v>
      </c>
      <c r="IZ11" s="123">
        <v>449.8</v>
      </c>
      <c r="JA11" s="125">
        <f>IF(563602.69863="","-",449775.95644/563602.69863*100)</f>
        <v>79.803726549448939</v>
      </c>
      <c r="JB11" s="201">
        <v>41.2</v>
      </c>
      <c r="JC11" s="116">
        <f>IF(42978.213="","-",41157.90483/42978.213*100)</f>
        <v>95.764579206678505</v>
      </c>
      <c r="JD11" s="201">
        <v>46.3</v>
      </c>
      <c r="JE11" s="116">
        <f>IF(51796.22657="","-",46312.24838/51796.22657*100)</f>
        <v>89.412398251465902</v>
      </c>
      <c r="JF11" s="201">
        <v>45.6</v>
      </c>
      <c r="JG11" s="116">
        <f>IF(37952.24423="","-",45548.84094/37952.24423*100)</f>
        <v>120.01619894718939</v>
      </c>
      <c r="JH11" s="201">
        <v>43.8</v>
      </c>
      <c r="JI11" s="116">
        <f>IF(33624.58118="","-",43764.89595/33624.58118*100)</f>
        <v>130.15744557743812</v>
      </c>
      <c r="JJ11" s="202">
        <v>33.6</v>
      </c>
      <c r="JK11" s="116">
        <f>IF(34349.47921="","-",33626.83428/34349.47921*100)</f>
        <v>97.89619829289984</v>
      </c>
      <c r="JL11" s="202">
        <v>53.3</v>
      </c>
      <c r="JM11" s="116">
        <f>IF(33071.86992="","-",53333.90835/33071.86992*100)</f>
        <v>161.26668518899402</v>
      </c>
      <c r="JN11" s="202">
        <v>55.3</v>
      </c>
      <c r="JO11" s="116">
        <f>IF(31159.33093="","-",55305.19319/31159.33093*100)</f>
        <v>177.49159413674226</v>
      </c>
      <c r="JP11" s="202">
        <v>75.099999999999994</v>
      </c>
      <c r="JQ11" s="116">
        <f>IF(22206.82972="","-",75103.62919/22206.82972*100)</f>
        <v>338.2005902551677</v>
      </c>
      <c r="JR11" s="203">
        <v>97.2</v>
      </c>
      <c r="JS11" s="116">
        <f>IF(34174.49429="","-",97166.12814/34174.49429*100)</f>
        <v>284.32352887349776</v>
      </c>
      <c r="JT11" s="223">
        <v>82.7</v>
      </c>
      <c r="JU11" s="117">
        <f>IF(37972.78919="","-",82735.09084/37972.78919*100)</f>
        <v>217.87994141285779</v>
      </c>
      <c r="JV11" s="223">
        <v>94</v>
      </c>
      <c r="JW11" s="120">
        <f>IF(47220.78353="","-",93971.05328/47220.78353*100)</f>
        <v>199.00358752052242</v>
      </c>
      <c r="JX11" s="223">
        <v>90.8</v>
      </c>
      <c r="JY11" s="116">
        <f>IF(43269.11467="","-",90739.36442/43269.11467*100)</f>
        <v>209.70931601453077</v>
      </c>
      <c r="JZ11" s="123">
        <v>758.8</v>
      </c>
      <c r="KA11" s="125">
        <f>IF(449775.95644="","-",758765.09179/449775.95644*100)</f>
        <v>168.69845551453329</v>
      </c>
      <c r="KB11" s="155">
        <v>90.6</v>
      </c>
      <c r="KC11" s="250">
        <f>IF(41157.90483="","-",90623.86904/41157.90483*100)</f>
        <v>220.18581707284639</v>
      </c>
      <c r="KD11" s="155">
        <v>83.1</v>
      </c>
      <c r="KE11" s="250">
        <f>IF(46312.24838="","-",83055.82251/46312.24838*100)</f>
        <v>179.33878275248617</v>
      </c>
      <c r="KF11" s="155">
        <v>72.400000000000006</v>
      </c>
      <c r="KG11" s="250">
        <f>IF(45548.84094="","-",72436.31109/45548.84094*100)</f>
        <v>159.02997660339585</v>
      </c>
      <c r="KH11" s="250">
        <v>63</v>
      </c>
      <c r="KI11" s="250">
        <f>IF(43764.89595="","-",63017.42764/43764.89595*100)</f>
        <v>143.99080877970192</v>
      </c>
      <c r="KJ11" s="157">
        <v>72.400000000000006</v>
      </c>
      <c r="KK11" s="250">
        <f>IF(33626.83428="","-",72359.00362/33626.83428*100)</f>
        <v>215.18232438263291</v>
      </c>
      <c r="KL11" s="155">
        <v>88.6</v>
      </c>
      <c r="KM11" s="157">
        <f>IF(53333.90835="","-",88630.53872/53333.90835*100)</f>
        <v>166.18046841489351</v>
      </c>
      <c r="KN11" s="157">
        <v>55.3</v>
      </c>
      <c r="KO11" s="250">
        <f>IF(55305.19319="","-",55276.59615/55305.19319*100)</f>
        <v>99.94829230610992</v>
      </c>
      <c r="KP11" s="157">
        <v>52</v>
      </c>
      <c r="KQ11" s="250">
        <f>IF(75103.62919="","-",51983.22659/75103.62919*100)</f>
        <v>69.215332402234324</v>
      </c>
      <c r="KR11" s="35" t="s">
        <v>169</v>
      </c>
    </row>
    <row r="12" spans="1:408" ht="15.75" customHeight="1">
      <c r="A12" s="3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8"/>
      <c r="Q12" s="39"/>
      <c r="R12" s="39"/>
      <c r="S12" s="39"/>
      <c r="T12" s="39"/>
      <c r="U12" s="39"/>
      <c r="V12" s="54"/>
      <c r="W12" s="39"/>
      <c r="X12" s="39"/>
      <c r="Y12" s="39"/>
      <c r="Z12" s="40"/>
      <c r="AA12" s="40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8"/>
      <c r="AP12" s="68"/>
      <c r="AQ12" s="41"/>
      <c r="AR12" s="39"/>
      <c r="AS12" s="39"/>
      <c r="AT12" s="39"/>
      <c r="AU12" s="39"/>
      <c r="AV12" s="39"/>
      <c r="AW12" s="68"/>
      <c r="AX12" s="39"/>
      <c r="AY12" s="39"/>
      <c r="AZ12" s="40"/>
      <c r="BA12" s="40"/>
      <c r="BB12" s="39"/>
      <c r="BC12" s="39"/>
      <c r="BD12" s="39"/>
      <c r="BE12" s="39"/>
      <c r="BF12" s="39"/>
      <c r="BG12" s="38"/>
      <c r="BH12" s="38"/>
      <c r="BI12" s="38"/>
      <c r="BJ12" s="38"/>
      <c r="BK12" s="38"/>
      <c r="BL12" s="39"/>
      <c r="BM12" s="39"/>
      <c r="BN12" s="39"/>
      <c r="BO12" s="39"/>
      <c r="BP12" s="39"/>
      <c r="BQ12" s="39"/>
      <c r="BR12" s="39"/>
      <c r="BS12" s="39"/>
      <c r="BT12" s="68"/>
      <c r="BU12" s="43"/>
      <c r="BV12" s="43"/>
      <c r="BW12" s="43"/>
      <c r="BX12" s="43"/>
      <c r="BY12" s="43"/>
      <c r="BZ12" s="44"/>
      <c r="CA12" s="44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4"/>
      <c r="DA12" s="44"/>
      <c r="DB12" s="45"/>
      <c r="DC12" s="56"/>
      <c r="DD12" s="57"/>
      <c r="DE12" s="57"/>
      <c r="DF12" s="57"/>
      <c r="DG12" s="58"/>
      <c r="DH12" s="58"/>
      <c r="DI12" s="58"/>
      <c r="DJ12" s="57"/>
      <c r="DK12" s="58"/>
      <c r="DL12" s="75"/>
      <c r="DM12" s="75"/>
      <c r="DN12" s="75"/>
      <c r="DO12" s="75"/>
      <c r="DP12" s="75"/>
      <c r="DQ12" s="80"/>
      <c r="DR12" s="57"/>
      <c r="DS12" s="56"/>
      <c r="DT12" s="60"/>
      <c r="DU12" s="58"/>
      <c r="DV12" s="61"/>
      <c r="DW12" s="58"/>
      <c r="DX12" s="57"/>
      <c r="DY12" s="57"/>
      <c r="DZ12" s="62"/>
      <c r="EA12" s="62"/>
      <c r="EB12" s="63"/>
      <c r="EC12" s="58"/>
      <c r="ED12" s="57"/>
      <c r="EE12" s="57"/>
      <c r="EF12" s="61"/>
      <c r="EG12" s="64"/>
      <c r="EH12" s="64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6"/>
      <c r="FA12" s="66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6"/>
      <c r="GA12" s="66"/>
      <c r="GB12" s="67"/>
      <c r="GC12" s="67"/>
      <c r="GD12" s="67"/>
      <c r="GE12" s="67"/>
      <c r="GF12" s="67"/>
      <c r="GG12" s="67"/>
      <c r="GH12" s="67"/>
      <c r="GI12" s="67"/>
      <c r="GJ12" s="26"/>
      <c r="GK12" s="27"/>
      <c r="GL12" s="26"/>
      <c r="GM12" s="27"/>
      <c r="GN12" s="26"/>
      <c r="GO12" s="27"/>
      <c r="GP12" s="116"/>
      <c r="GQ12" s="119"/>
      <c r="GR12" s="27"/>
      <c r="GS12" s="27"/>
      <c r="GT12" s="27"/>
      <c r="GU12" s="27"/>
      <c r="GV12" s="27"/>
      <c r="GW12" s="27"/>
      <c r="GX12" s="27"/>
      <c r="GY12" s="27"/>
      <c r="GZ12" s="131"/>
      <c r="HA12" s="131"/>
      <c r="HB12" s="136"/>
      <c r="HC12" s="26"/>
      <c r="HD12" s="143"/>
      <c r="HE12" s="26"/>
      <c r="HF12" s="143"/>
      <c r="HG12" s="26"/>
      <c r="HH12" s="143"/>
      <c r="HI12" s="26"/>
      <c r="HJ12" s="143"/>
      <c r="HK12" s="26"/>
      <c r="HL12" s="143"/>
      <c r="HM12" s="26"/>
      <c r="HN12" s="143"/>
      <c r="HO12" s="26"/>
      <c r="HP12" s="143"/>
      <c r="HQ12" s="26"/>
      <c r="HR12" s="143"/>
      <c r="HS12" s="26"/>
      <c r="HT12" s="143"/>
      <c r="HU12" s="144"/>
      <c r="HV12" s="145"/>
      <c r="HW12" s="26"/>
      <c r="HX12" s="145"/>
      <c r="HY12" s="26"/>
      <c r="HZ12" s="146"/>
      <c r="IA12" s="123"/>
      <c r="IB12" s="136"/>
      <c r="IC12" s="26"/>
      <c r="ID12" s="136"/>
      <c r="IE12" s="26"/>
      <c r="IF12" s="136"/>
      <c r="IG12" s="26"/>
      <c r="IH12" s="136"/>
      <c r="II12" s="26"/>
      <c r="IJ12" s="13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123"/>
      <c r="JA12" s="123"/>
      <c r="JB12" s="221"/>
      <c r="JC12" s="26"/>
      <c r="JD12" s="221"/>
      <c r="JE12" s="26"/>
      <c r="JF12" s="221"/>
      <c r="JG12" s="26"/>
      <c r="JH12" s="221"/>
      <c r="JI12" s="26"/>
      <c r="JJ12" s="204"/>
      <c r="JK12" s="26"/>
      <c r="JL12" s="224"/>
      <c r="JM12" s="26"/>
      <c r="JN12" s="225"/>
      <c r="JO12" s="26"/>
      <c r="JP12" s="224"/>
      <c r="JQ12" s="26"/>
      <c r="JR12" s="226"/>
      <c r="JS12" s="26"/>
      <c r="JT12" s="223"/>
      <c r="JU12" s="26"/>
      <c r="JV12" s="223"/>
      <c r="JW12" s="26"/>
      <c r="JX12" s="223"/>
      <c r="JY12" s="26"/>
      <c r="JZ12" s="123"/>
      <c r="KA12" s="124"/>
      <c r="KB12" s="155"/>
      <c r="KC12" s="155"/>
      <c r="KD12" s="155"/>
      <c r="KE12" s="155"/>
      <c r="KF12" s="155"/>
      <c r="KG12" s="155"/>
      <c r="KH12" s="155" t="s">
        <v>325</v>
      </c>
      <c r="KI12" s="155"/>
      <c r="KJ12" s="155" t="s">
        <v>325</v>
      </c>
      <c r="KK12" s="155"/>
      <c r="KL12" s="155"/>
      <c r="KM12" s="155"/>
      <c r="KN12" s="155" t="s">
        <v>325</v>
      </c>
      <c r="KO12" s="274"/>
      <c r="KP12" s="155" t="s">
        <v>325</v>
      </c>
      <c r="KQ12" s="274"/>
      <c r="KR12" s="35"/>
    </row>
    <row r="13" spans="1:408" ht="18.75">
      <c r="A13" s="34" t="s">
        <v>121</v>
      </c>
      <c r="B13" s="38">
        <v>284.8</v>
      </c>
      <c r="C13" s="38">
        <v>143.30000000000001</v>
      </c>
      <c r="D13" s="38">
        <v>355.9</v>
      </c>
      <c r="E13" s="38">
        <v>141.19999999999999</v>
      </c>
      <c r="F13" s="38">
        <v>457.5</v>
      </c>
      <c r="G13" s="38">
        <v>146.4</v>
      </c>
      <c r="H13" s="38">
        <v>421.1</v>
      </c>
      <c r="I13" s="38">
        <v>143.80000000000001</v>
      </c>
      <c r="J13" s="38">
        <v>437.7</v>
      </c>
      <c r="K13" s="38">
        <v>147.30000000000001</v>
      </c>
      <c r="L13" s="38">
        <v>417.3</v>
      </c>
      <c r="M13" s="38">
        <v>129.30000000000001</v>
      </c>
      <c r="N13" s="38">
        <v>414.8</v>
      </c>
      <c r="O13" s="38">
        <v>132.1</v>
      </c>
      <c r="P13" s="38">
        <v>420.7</v>
      </c>
      <c r="Q13" s="38">
        <v>139.5</v>
      </c>
      <c r="R13" s="38">
        <v>483.9</v>
      </c>
      <c r="S13" s="38">
        <v>140.30000000000001</v>
      </c>
      <c r="T13" s="38">
        <v>467.8</v>
      </c>
      <c r="U13" s="38">
        <v>125.3</v>
      </c>
      <c r="V13" s="39">
        <v>494.9</v>
      </c>
      <c r="W13" s="38">
        <v>122.1</v>
      </c>
      <c r="X13" s="38">
        <v>534.9</v>
      </c>
      <c r="Y13" s="38">
        <v>121.6</v>
      </c>
      <c r="Z13" s="40">
        <v>5191.3</v>
      </c>
      <c r="AA13" s="40">
        <v>134.69999999999999</v>
      </c>
      <c r="AB13" s="38">
        <v>338.9</v>
      </c>
      <c r="AC13" s="38">
        <v>119</v>
      </c>
      <c r="AD13" s="38">
        <v>389</v>
      </c>
      <c r="AE13" s="38">
        <v>109.3</v>
      </c>
      <c r="AF13" s="38">
        <v>476.3</v>
      </c>
      <c r="AG13" s="38">
        <v>104.1</v>
      </c>
      <c r="AH13" s="38">
        <v>426.6</v>
      </c>
      <c r="AI13" s="38">
        <v>101.3</v>
      </c>
      <c r="AJ13" s="38">
        <v>428.1</v>
      </c>
      <c r="AK13" s="38">
        <v>97.8</v>
      </c>
      <c r="AL13" s="38">
        <v>401.8</v>
      </c>
      <c r="AM13" s="38">
        <v>96.3</v>
      </c>
      <c r="AN13" s="38">
        <v>416.6</v>
      </c>
      <c r="AO13" s="38">
        <v>100.4</v>
      </c>
      <c r="AP13" s="38">
        <v>406.6</v>
      </c>
      <c r="AQ13" s="41">
        <v>96.7</v>
      </c>
      <c r="AR13" s="38">
        <v>449.7</v>
      </c>
      <c r="AS13" s="38">
        <v>92.9</v>
      </c>
      <c r="AT13" s="38">
        <v>497</v>
      </c>
      <c r="AU13" s="38">
        <v>106.2</v>
      </c>
      <c r="AV13" s="38">
        <v>477.9</v>
      </c>
      <c r="AW13" s="38">
        <v>96.6</v>
      </c>
      <c r="AX13" s="38">
        <v>504.4</v>
      </c>
      <c r="AY13" s="38">
        <v>94.3</v>
      </c>
      <c r="AZ13" s="40">
        <v>5212.8999999999996</v>
      </c>
      <c r="BA13" s="40">
        <v>100.4</v>
      </c>
      <c r="BB13" s="38">
        <v>348.2</v>
      </c>
      <c r="BC13" s="38">
        <v>102.8</v>
      </c>
      <c r="BD13" s="38">
        <v>406.5</v>
      </c>
      <c r="BE13" s="38">
        <v>104.5</v>
      </c>
      <c r="BF13" s="38">
        <v>488</v>
      </c>
      <c r="BG13" s="38">
        <v>102.4</v>
      </c>
      <c r="BH13" s="47">
        <v>486.1</v>
      </c>
      <c r="BI13" s="47">
        <v>114</v>
      </c>
      <c r="BJ13" s="47">
        <v>409.8</v>
      </c>
      <c r="BK13" s="47">
        <v>95.7</v>
      </c>
      <c r="BL13" s="51">
        <v>455.3</v>
      </c>
      <c r="BM13" s="51">
        <v>113.3</v>
      </c>
      <c r="BN13" s="51">
        <v>476</v>
      </c>
      <c r="BO13" s="51">
        <v>114.2</v>
      </c>
      <c r="BP13" s="51">
        <v>444.4</v>
      </c>
      <c r="BQ13" s="51">
        <v>109.3</v>
      </c>
      <c r="BR13" s="51">
        <v>455.8</v>
      </c>
      <c r="BS13" s="51">
        <v>101.4</v>
      </c>
      <c r="BT13" s="42">
        <v>480.3</v>
      </c>
      <c r="BU13" s="43">
        <v>96.7</v>
      </c>
      <c r="BV13" s="43">
        <v>487.1</v>
      </c>
      <c r="BW13" s="43">
        <v>101.9</v>
      </c>
      <c r="BX13" s="43">
        <v>554.9</v>
      </c>
      <c r="BY13" s="43">
        <v>110</v>
      </c>
      <c r="BZ13" s="44">
        <v>5492.4</v>
      </c>
      <c r="CA13" s="44">
        <v>105.4</v>
      </c>
      <c r="CB13" s="45">
        <v>319.5</v>
      </c>
      <c r="CC13" s="45">
        <v>91.8</v>
      </c>
      <c r="CD13" s="45">
        <v>415.7</v>
      </c>
      <c r="CE13" s="45">
        <v>102.3</v>
      </c>
      <c r="CF13" s="45">
        <v>483</v>
      </c>
      <c r="CG13" s="45">
        <v>99</v>
      </c>
      <c r="CH13" s="45">
        <v>443.2</v>
      </c>
      <c r="CI13" s="45">
        <v>91.2</v>
      </c>
      <c r="CJ13" s="45">
        <v>433.5</v>
      </c>
      <c r="CK13" s="45">
        <v>105.8</v>
      </c>
      <c r="CL13" s="45">
        <v>452.1</v>
      </c>
      <c r="CM13" s="45">
        <v>99.3</v>
      </c>
      <c r="CN13" s="45">
        <v>447</v>
      </c>
      <c r="CO13" s="45">
        <v>93.9</v>
      </c>
      <c r="CP13" s="45">
        <v>412.9</v>
      </c>
      <c r="CQ13" s="45">
        <v>92.9</v>
      </c>
      <c r="CR13" s="45">
        <v>458.9</v>
      </c>
      <c r="CS13" s="45">
        <v>100.7</v>
      </c>
      <c r="CT13" s="45">
        <v>481.8</v>
      </c>
      <c r="CU13" s="45">
        <v>100.3</v>
      </c>
      <c r="CV13" s="45">
        <v>464.3</v>
      </c>
      <c r="CW13" s="45">
        <v>95.3</v>
      </c>
      <c r="CX13" s="45">
        <v>505.1</v>
      </c>
      <c r="CY13" s="45">
        <v>91</v>
      </c>
      <c r="CZ13" s="44">
        <v>5317</v>
      </c>
      <c r="DA13" s="44">
        <v>96.8</v>
      </c>
      <c r="DB13" s="45">
        <v>269.3</v>
      </c>
      <c r="DC13" s="46">
        <v>84.3</v>
      </c>
      <c r="DD13" s="46">
        <v>304.3</v>
      </c>
      <c r="DE13" s="46">
        <v>73.2</v>
      </c>
      <c r="DF13" s="46">
        <v>402.6</v>
      </c>
      <c r="DG13" s="47">
        <v>83.3</v>
      </c>
      <c r="DH13" s="47">
        <v>329.5</v>
      </c>
      <c r="DI13" s="47">
        <v>74.3</v>
      </c>
      <c r="DJ13" s="47">
        <v>328</v>
      </c>
      <c r="DK13" s="47">
        <v>75.7</v>
      </c>
      <c r="DL13" s="59">
        <v>351.7</v>
      </c>
      <c r="DM13" s="59">
        <v>77.8</v>
      </c>
      <c r="DN13" s="59">
        <v>340.9</v>
      </c>
      <c r="DO13" s="59">
        <v>76.3</v>
      </c>
      <c r="DP13" s="59">
        <v>298.60000000000002</v>
      </c>
      <c r="DQ13" s="47">
        <v>72.3</v>
      </c>
      <c r="DR13" s="46">
        <v>337.6</v>
      </c>
      <c r="DS13" s="46">
        <v>73.599999999999994</v>
      </c>
      <c r="DT13" s="46">
        <v>337.1</v>
      </c>
      <c r="DU13" s="47">
        <v>70</v>
      </c>
      <c r="DV13" s="46">
        <v>334.6</v>
      </c>
      <c r="DW13" s="47">
        <v>72</v>
      </c>
      <c r="DX13" s="46">
        <v>352.6</v>
      </c>
      <c r="DY13" s="46">
        <v>69.8</v>
      </c>
      <c r="DZ13" s="50">
        <v>3986.8</v>
      </c>
      <c r="EA13" s="55">
        <v>75</v>
      </c>
      <c r="EB13" s="51">
        <v>207.3</v>
      </c>
      <c r="EC13" s="47">
        <v>77</v>
      </c>
      <c r="ED13" s="47">
        <v>287</v>
      </c>
      <c r="EE13" s="46">
        <v>94.3</v>
      </c>
      <c r="EF13" s="81">
        <v>366.8</v>
      </c>
      <c r="EG13" s="46">
        <v>91.1</v>
      </c>
      <c r="EH13" s="47">
        <v>354.9</v>
      </c>
      <c r="EI13" s="47">
        <v>107.8</v>
      </c>
      <c r="EJ13" s="47">
        <v>327.7</v>
      </c>
      <c r="EK13" s="47">
        <v>100</v>
      </c>
      <c r="EL13" s="47">
        <v>324.60000000000002</v>
      </c>
      <c r="EM13" s="47">
        <v>92.3</v>
      </c>
      <c r="EN13" s="47">
        <v>314.10000000000002</v>
      </c>
      <c r="EO13" s="47">
        <v>92.1</v>
      </c>
      <c r="EP13" s="47">
        <v>351.1</v>
      </c>
      <c r="EQ13" s="47">
        <v>117.6</v>
      </c>
      <c r="ER13" s="47">
        <v>361.6</v>
      </c>
      <c r="ES13" s="47">
        <v>107.1</v>
      </c>
      <c r="ET13" s="47">
        <v>380.2</v>
      </c>
      <c r="EU13" s="47">
        <v>112.8</v>
      </c>
      <c r="EV13" s="47">
        <v>353.5</v>
      </c>
      <c r="EW13" s="47">
        <v>105.6</v>
      </c>
      <c r="EX13" s="47">
        <v>391.4</v>
      </c>
      <c r="EY13" s="47">
        <v>111</v>
      </c>
      <c r="EZ13" s="53">
        <v>4020.3</v>
      </c>
      <c r="FA13" s="53">
        <v>100.8</v>
      </c>
      <c r="FB13" s="51">
        <v>266.8</v>
      </c>
      <c r="FC13" s="51">
        <v>128.69999999999999</v>
      </c>
      <c r="FD13" s="51">
        <v>332.7</v>
      </c>
      <c r="FE13" s="51">
        <v>115.9</v>
      </c>
      <c r="FF13" s="51">
        <v>431.2</v>
      </c>
      <c r="FG13" s="51">
        <v>117.6</v>
      </c>
      <c r="FH13" s="51">
        <v>361.5</v>
      </c>
      <c r="FI13" s="51">
        <v>101.9</v>
      </c>
      <c r="FJ13" s="51">
        <v>400.4</v>
      </c>
      <c r="FK13" s="51">
        <v>122.2</v>
      </c>
      <c r="FL13" s="51">
        <v>388.8</v>
      </c>
      <c r="FM13" s="51">
        <v>119.8</v>
      </c>
      <c r="FN13" s="51">
        <v>396.9</v>
      </c>
      <c r="FO13" s="51">
        <v>126.3</v>
      </c>
      <c r="FP13" s="51">
        <v>429.7</v>
      </c>
      <c r="FQ13" s="51">
        <v>122.4</v>
      </c>
      <c r="FR13" s="51">
        <v>430.8</v>
      </c>
      <c r="FS13" s="51">
        <v>119.1</v>
      </c>
      <c r="FT13" s="51">
        <v>465.9</v>
      </c>
      <c r="FU13" s="51">
        <v>122.5</v>
      </c>
      <c r="FV13" s="51">
        <v>455.3</v>
      </c>
      <c r="FW13" s="51">
        <v>128.80000000000001</v>
      </c>
      <c r="FX13" s="51">
        <v>471.4</v>
      </c>
      <c r="FY13" s="51">
        <v>120.4</v>
      </c>
      <c r="FZ13" s="53">
        <v>4831.3</v>
      </c>
      <c r="GA13" s="53">
        <v>120.2</v>
      </c>
      <c r="GB13" s="51">
        <v>374.3</v>
      </c>
      <c r="GC13" s="51">
        <v>140.30000000000001</v>
      </c>
      <c r="GD13" s="51">
        <v>427.6</v>
      </c>
      <c r="GE13" s="51">
        <v>128.5</v>
      </c>
      <c r="GF13" s="51">
        <v>524.1</v>
      </c>
      <c r="GG13" s="51">
        <v>121.6</v>
      </c>
      <c r="GH13" s="51">
        <v>444.6</v>
      </c>
      <c r="GI13" s="51">
        <v>123</v>
      </c>
      <c r="GJ13" s="24">
        <v>505.6</v>
      </c>
      <c r="GK13" s="25">
        <v>126.3</v>
      </c>
      <c r="GL13" s="24">
        <v>458.7</v>
      </c>
      <c r="GM13" s="25">
        <v>118</v>
      </c>
      <c r="GN13" s="24">
        <v>488</v>
      </c>
      <c r="GO13" s="25">
        <v>123</v>
      </c>
      <c r="GP13" s="115">
        <v>480.7</v>
      </c>
      <c r="GQ13" s="118">
        <v>111.9</v>
      </c>
      <c r="GR13" s="24">
        <v>474</v>
      </c>
      <c r="GS13" s="25">
        <v>110</v>
      </c>
      <c r="GT13" s="24">
        <v>540.6</v>
      </c>
      <c r="GU13" s="118">
        <v>116</v>
      </c>
      <c r="GV13" s="24">
        <v>522.6</v>
      </c>
      <c r="GW13" s="115">
        <v>114.8</v>
      </c>
      <c r="GX13" s="24">
        <v>519.29999999999995</v>
      </c>
      <c r="GY13" s="115">
        <v>110.2</v>
      </c>
      <c r="GZ13" s="121">
        <v>5760.1</v>
      </c>
      <c r="HA13" s="124">
        <v>119.2</v>
      </c>
      <c r="HB13" s="147">
        <v>372.6</v>
      </c>
      <c r="HC13" s="115">
        <f>IF(374257.25828="","-",372548.49281/374257.25828*100)</f>
        <v>99.543424894989869</v>
      </c>
      <c r="HD13" s="147">
        <v>459.3</v>
      </c>
      <c r="HE13" s="115">
        <f>IF(427600.8878="","-",459248.98718/427600.8878*100)</f>
        <v>107.40131750961253</v>
      </c>
      <c r="HF13" s="147">
        <v>533.79999999999995</v>
      </c>
      <c r="HG13" s="115">
        <f>IF(524151.65323="","-",533847.81488/524151.65323*100)</f>
        <v>101.84987714724333</v>
      </c>
      <c r="HH13" s="147">
        <v>515.6</v>
      </c>
      <c r="HI13" s="115">
        <f>IF(444601.83252="","-",515591.42554/444601.83252*100)</f>
        <v>115.96700414337735</v>
      </c>
      <c r="HJ13" s="147">
        <v>481.6</v>
      </c>
      <c r="HK13" s="115">
        <f>IF(505594.98812="","-",481606.75367/505594.98812*100)</f>
        <v>95.255444572503052</v>
      </c>
      <c r="HL13" s="147">
        <v>445.4</v>
      </c>
      <c r="HM13" s="115">
        <f>IF(458682.35918="","-",445438.91205/458682.35918*100)</f>
        <v>97.112719321999705</v>
      </c>
      <c r="HN13" s="147">
        <v>499.1</v>
      </c>
      <c r="HO13" s="115">
        <f>IF(488041.26888="","-",499106.13257/488041.26888*100)</f>
        <v>102.26719836939048</v>
      </c>
      <c r="HP13" s="147">
        <v>464.3</v>
      </c>
      <c r="HQ13" s="115">
        <f>IF(480650.77296="","-",464269.56222/480650.77296*100)</f>
        <v>96.591868428897087</v>
      </c>
      <c r="HR13" s="147">
        <v>501.7</v>
      </c>
      <c r="HS13" s="115">
        <f>IF(473973.76404="","-",501694.30423/473973.76404*100)</f>
        <v>105.84853894732886</v>
      </c>
      <c r="HT13" s="147">
        <v>525.29999999999995</v>
      </c>
      <c r="HU13" s="115">
        <f>IF(540614.13985="","-",525340.24848/540614.13985*100)</f>
        <v>97.174714783775727</v>
      </c>
      <c r="HV13" s="147">
        <v>504.1</v>
      </c>
      <c r="HW13" s="115">
        <f>IF(522571.0681="","-",504121.79757/522571.0681*100)</f>
        <v>96.469519333115954</v>
      </c>
      <c r="HX13" s="147">
        <v>539.70000000000005</v>
      </c>
      <c r="HY13" s="115">
        <f>IF(519317.05816="","-",539669.9086/519317.05816*100)</f>
        <v>103.91915692353963</v>
      </c>
      <c r="HZ13" s="148">
        <v>5842.5</v>
      </c>
      <c r="IA13" s="124">
        <f>IF(5760057.05112="","-",5842484.3398/5760057.05112*100)</f>
        <v>101.43101514357349</v>
      </c>
      <c r="IB13" s="147">
        <v>379.8</v>
      </c>
      <c r="IC13" s="115">
        <f>IF(372548.49281="","-",379831.59944/372548.49281*100)</f>
        <v>101.95494191241148</v>
      </c>
      <c r="ID13" s="147">
        <v>484.8</v>
      </c>
      <c r="IE13" s="115">
        <f>IF(459248.98718="","-",484785.07909/459248.98718*100)</f>
        <v>105.56040244460927</v>
      </c>
      <c r="IF13" s="147">
        <v>500.5</v>
      </c>
      <c r="IG13" s="115">
        <f>IF(533847.81488="","-",500496.7331/533847.81488*100)</f>
        <v>93.752698643620619</v>
      </c>
      <c r="IH13" s="147">
        <v>285.60000000000002</v>
      </c>
      <c r="II13" s="115">
        <f>IF(515591.42554="","-",285604.18681/515591.42554*100)</f>
        <v>55.393509795256001</v>
      </c>
      <c r="IJ13" s="24">
        <v>329.4</v>
      </c>
      <c r="IK13" s="115">
        <f>IF(481606.75367="","-",329360.04715/481606.75367*100)</f>
        <v>68.38775508029515</v>
      </c>
      <c r="IL13" s="115">
        <v>413.5</v>
      </c>
      <c r="IM13" s="115">
        <f>IF(445438.91205="","-",413539.17419/445438.91205*100)</f>
        <v>92.838583025180498</v>
      </c>
      <c r="IN13" s="24">
        <v>496.6</v>
      </c>
      <c r="IO13" s="115">
        <f>IF(499106.13257="","-",496638.96559/499106.13257*100)</f>
        <v>99.505682896081424</v>
      </c>
      <c r="IP13" s="24">
        <v>433.6</v>
      </c>
      <c r="IQ13" s="115">
        <f>IF(464269.56222="","-",433625.62616/464269.56222*100)</f>
        <v>93.399537993946922</v>
      </c>
      <c r="IR13" s="115">
        <v>508.3</v>
      </c>
      <c r="IS13" s="115">
        <f>IF(501694.30423="","-",508337.58442/501694.30423*100)</f>
        <v>101.32416894790069</v>
      </c>
      <c r="IT13" s="115">
        <v>493.6</v>
      </c>
      <c r="IU13" s="115">
        <f>IF(525340.24848="","-",493580.30765/525340.24848*100)</f>
        <v>93.954405564414117</v>
      </c>
      <c r="IV13" s="115">
        <v>522.9</v>
      </c>
      <c r="IW13" s="115">
        <f>IF(504121.79757="","-",522886.87074/504121.79757*100)</f>
        <v>103.7223292586142</v>
      </c>
      <c r="IX13" s="115">
        <v>567.29999999999995</v>
      </c>
      <c r="IY13" s="115">
        <f>IF(539669.9086="","-",567302.1235/539669.9086*100)</f>
        <v>105.12020671519058</v>
      </c>
      <c r="IZ13" s="124">
        <v>5416</v>
      </c>
      <c r="JA13" s="124">
        <f>IF(5842484.3398="","-",5415988.29784/5842484.3398*100)</f>
        <v>92.700090968928478</v>
      </c>
      <c r="JB13" s="205">
        <v>399.4</v>
      </c>
      <c r="JC13" s="115">
        <f>IF(379831.59944="","-",399368.86107/379831.59944*100)</f>
        <v>105.14366410240868</v>
      </c>
      <c r="JD13" s="207">
        <v>521.4</v>
      </c>
      <c r="JE13" s="115">
        <f>IF(484785.07909="","-",521438.57325/484785.07909*100)</f>
        <v>107.56077192573727</v>
      </c>
      <c r="JF13" s="207">
        <v>630.1</v>
      </c>
      <c r="JG13" s="115">
        <f>IF(500496.7331="","-",630055.59405/500496.7331*100)</f>
        <v>125.88605526903886</v>
      </c>
      <c r="JH13" s="208">
        <v>562.20000000000005</v>
      </c>
      <c r="JI13" s="115">
        <f>IF(285604.18681="","-",562205.14526/285604.18681*100)</f>
        <v>196.84765533007069</v>
      </c>
      <c r="JJ13" s="208">
        <v>563.4</v>
      </c>
      <c r="JK13" s="115">
        <f>IF(329360.04715="","-",563394.10094/329360.04715*100)</f>
        <v>171.05720800538208</v>
      </c>
      <c r="JL13" s="208">
        <v>589.6</v>
      </c>
      <c r="JM13" s="115">
        <f>IF(413539.17419="","-",589651.5133/413539.17419*100)</f>
        <v>142.58661575531545</v>
      </c>
      <c r="JN13" s="206">
        <v>562</v>
      </c>
      <c r="JO13" s="115">
        <f>IF(496638.96559="","-",561993.46053/496638.96559*100)</f>
        <v>113.15935709199938</v>
      </c>
      <c r="JP13" s="209">
        <v>574.9</v>
      </c>
      <c r="JQ13" s="115">
        <f>IF(433625.62616="","-",574936.77782/433625.62616*100)</f>
        <v>132.58828425602752</v>
      </c>
      <c r="JR13" s="208">
        <v>671.2</v>
      </c>
      <c r="JS13" s="115">
        <f>IF(508337.58442="","-",671200.23342/508337.58442*100)</f>
        <v>132.03828597207149</v>
      </c>
      <c r="JT13" s="220">
        <v>646.79999999999995</v>
      </c>
      <c r="JU13" s="115">
        <f>IF(493580.30765="","-",646825.37355/493580.30765*100)</f>
        <v>131.0476458490858</v>
      </c>
      <c r="JV13" s="260" t="s">
        <v>377</v>
      </c>
      <c r="JW13" s="262">
        <f>IF(522886.87074="","-",701494.63996/522886.87074*100)</f>
        <v>134.15801375299989</v>
      </c>
      <c r="JX13" s="220">
        <v>754.2</v>
      </c>
      <c r="JY13" s="115">
        <f>IF(567302.1235="","-",754196.91196/567302.1235*100)</f>
        <v>132.94448949123316</v>
      </c>
      <c r="JZ13" s="261" t="s">
        <v>376</v>
      </c>
      <c r="KA13" s="270">
        <f>IF(5415988.29784="","-",7176761.18511/5415988.29784*100)</f>
        <v>132.51064792684707</v>
      </c>
      <c r="KB13" s="246">
        <v>621.70000000000005</v>
      </c>
      <c r="KC13" s="262">
        <f>IF(399368.86107="","-",621670.29638/399368.86107*100)</f>
        <v>155.66318683795325</v>
      </c>
      <c r="KD13" s="246">
        <v>669.1</v>
      </c>
      <c r="KE13" s="262">
        <f>IF(521438.57325="","-",669093.30457/521438.57325*100)</f>
        <v>128.31680257172076</v>
      </c>
      <c r="KF13" s="246">
        <v>748.3</v>
      </c>
      <c r="KG13" s="262">
        <f>IF(630055.59405="","-",748290.45998/630055.59405*100)</f>
        <v>118.765783058918</v>
      </c>
      <c r="KH13" s="246">
        <v>770.5</v>
      </c>
      <c r="KI13" s="262">
        <f>IF(562205.14526="","-",770524.11533/562205.14526*100)</f>
        <v>137.05390671472063</v>
      </c>
      <c r="KJ13" s="246">
        <v>772.7</v>
      </c>
      <c r="KK13" s="262">
        <f>IF(563394.10094="","-",772704.56192/563394.10094*100)</f>
        <v>137.15169552375045</v>
      </c>
      <c r="KL13" s="271">
        <v>768.3</v>
      </c>
      <c r="KM13" s="263">
        <f>IF(589651.5133="","-",768271.43082/589651.5133*100)</f>
        <v>130.29245469418862</v>
      </c>
      <c r="KN13" s="278">
        <v>761.2</v>
      </c>
      <c r="KO13" s="262">
        <f>IF(561993.46053="","-",761199.06642/561993.46053*100)</f>
        <v>135.44624980193453</v>
      </c>
      <c r="KP13" s="278">
        <v>780</v>
      </c>
      <c r="KQ13" s="262">
        <f>IF(574936.77782="","-",779999.87451/574936.77782*100)</f>
        <v>135.66706890234821</v>
      </c>
      <c r="KR13" s="34" t="s">
        <v>121</v>
      </c>
    </row>
    <row r="14" spans="1:408" ht="15.75" customHeight="1">
      <c r="A14" s="34" t="s">
        <v>120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54"/>
      <c r="W14" s="39"/>
      <c r="X14" s="39"/>
      <c r="Y14" s="39"/>
      <c r="Z14" s="40"/>
      <c r="AA14" s="40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8"/>
      <c r="AO14" s="38"/>
      <c r="AP14" s="38"/>
      <c r="AQ14" s="41"/>
      <c r="AR14" s="39"/>
      <c r="AS14" s="39"/>
      <c r="AT14" s="39"/>
      <c r="AU14" s="39"/>
      <c r="AV14" s="39"/>
      <c r="AW14" s="68"/>
      <c r="AX14" s="39"/>
      <c r="AY14" s="39"/>
      <c r="AZ14" s="40"/>
      <c r="BA14" s="40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55"/>
      <c r="CA14" s="55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55"/>
      <c r="DA14" s="55"/>
      <c r="DB14" s="47"/>
      <c r="DC14" s="56"/>
      <c r="DD14" s="57"/>
      <c r="DE14" s="57"/>
      <c r="DF14" s="57"/>
      <c r="DG14" s="58"/>
      <c r="DH14" s="58"/>
      <c r="DI14" s="58"/>
      <c r="DJ14" s="57"/>
      <c r="DK14" s="58"/>
      <c r="DL14" s="59"/>
      <c r="DM14" s="59"/>
      <c r="DN14" s="59"/>
      <c r="DO14" s="59"/>
      <c r="DP14" s="59"/>
      <c r="DQ14" s="58"/>
      <c r="DR14" s="57"/>
      <c r="DS14" s="56"/>
      <c r="DT14" s="60"/>
      <c r="DU14" s="58"/>
      <c r="DV14" s="61"/>
      <c r="DW14" s="58"/>
      <c r="DX14" s="57"/>
      <c r="DY14" s="57"/>
      <c r="DZ14" s="62"/>
      <c r="EA14" s="62"/>
      <c r="EB14" s="63"/>
      <c r="EC14" s="58"/>
      <c r="ED14" s="57"/>
      <c r="EE14" s="57"/>
      <c r="EF14" s="61"/>
      <c r="EG14" s="64"/>
      <c r="EH14" s="64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6"/>
      <c r="FA14" s="66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6"/>
      <c r="GA14" s="66"/>
      <c r="GB14" s="67"/>
      <c r="GC14" s="67"/>
      <c r="GD14" s="67"/>
      <c r="GE14" s="67"/>
      <c r="GF14" s="67"/>
      <c r="GG14" s="67"/>
      <c r="GH14" s="67"/>
      <c r="GI14" s="67"/>
      <c r="GJ14" s="26"/>
      <c r="GK14" s="25"/>
      <c r="GL14" s="26"/>
      <c r="GM14" s="25"/>
      <c r="GN14" s="26"/>
      <c r="GO14" s="25"/>
      <c r="GP14" s="116"/>
      <c r="GQ14" s="118"/>
      <c r="GR14" s="26"/>
      <c r="GS14" s="25"/>
      <c r="GT14" s="25"/>
      <c r="GU14" s="25"/>
      <c r="GV14" s="26"/>
      <c r="GW14" s="24"/>
      <c r="GX14" s="26"/>
      <c r="GY14" s="24"/>
      <c r="GZ14" s="123"/>
      <c r="HA14" s="121"/>
      <c r="HB14" s="136"/>
      <c r="HC14" s="138"/>
      <c r="HD14" s="136"/>
      <c r="HE14" s="138"/>
      <c r="HF14" s="136"/>
      <c r="HG14" s="138"/>
      <c r="HH14" s="136"/>
      <c r="HI14" s="138"/>
      <c r="HJ14" s="136"/>
      <c r="HK14" s="138"/>
      <c r="HL14" s="136"/>
      <c r="HM14" s="138"/>
      <c r="HN14" s="136"/>
      <c r="HO14" s="138"/>
      <c r="HP14" s="136"/>
      <c r="HQ14" s="138"/>
      <c r="HR14" s="136"/>
      <c r="HS14" s="138"/>
      <c r="HT14" s="136"/>
      <c r="HU14" s="138"/>
      <c r="HV14" s="136"/>
      <c r="HW14" s="138"/>
      <c r="HX14" s="136"/>
      <c r="HY14" s="138"/>
      <c r="HZ14" s="137"/>
      <c r="IA14" s="149"/>
      <c r="IB14" s="136"/>
      <c r="IC14" s="26"/>
      <c r="ID14" s="136"/>
      <c r="IE14" s="26"/>
      <c r="IF14" s="136"/>
      <c r="IG14" s="26"/>
      <c r="IH14" s="136"/>
      <c r="II14" s="26"/>
      <c r="IJ14" s="26"/>
      <c r="IK14" s="26"/>
      <c r="IL14" s="139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123"/>
      <c r="JA14" s="123"/>
      <c r="JB14" s="201"/>
      <c r="JC14" s="26"/>
      <c r="JD14" s="227"/>
      <c r="JE14" s="26"/>
      <c r="JF14" s="227"/>
      <c r="JG14" s="26"/>
      <c r="JH14" s="228"/>
      <c r="JI14" s="26"/>
      <c r="JJ14" s="227"/>
      <c r="JK14" s="26"/>
      <c r="JL14" s="227"/>
      <c r="JM14" s="26"/>
      <c r="JN14" s="206"/>
      <c r="JO14" s="26"/>
      <c r="JP14" s="228"/>
      <c r="JQ14" s="26"/>
      <c r="JR14" s="208"/>
      <c r="JS14" s="26"/>
      <c r="JT14" s="223"/>
      <c r="JU14" s="26"/>
      <c r="JV14" s="219"/>
      <c r="JW14" s="155"/>
      <c r="JX14" s="223"/>
      <c r="JY14" s="115"/>
      <c r="JZ14" s="156"/>
      <c r="KA14" s="159"/>
      <c r="KB14" s="155"/>
      <c r="KC14" s="155"/>
      <c r="KD14" s="155"/>
      <c r="KE14" s="263"/>
      <c r="KF14" s="155"/>
      <c r="KG14" s="262"/>
      <c r="KH14" s="155"/>
      <c r="KI14" s="262"/>
      <c r="KJ14" s="155"/>
      <c r="KK14" s="262"/>
      <c r="KL14" s="155"/>
      <c r="KM14" s="157"/>
      <c r="KN14" s="155"/>
      <c r="KO14" s="250"/>
      <c r="KP14" s="155"/>
      <c r="KQ14" s="250"/>
      <c r="KR14" s="34" t="s">
        <v>120</v>
      </c>
    </row>
    <row r="15" spans="1:408" ht="18.75">
      <c r="A15" s="35" t="s">
        <v>329</v>
      </c>
      <c r="B15" s="68">
        <v>120.3</v>
      </c>
      <c r="C15" s="68">
        <v>140.1</v>
      </c>
      <c r="D15" s="68">
        <v>135</v>
      </c>
      <c r="E15" s="68">
        <v>137.80000000000001</v>
      </c>
      <c r="F15" s="68">
        <v>155.9</v>
      </c>
      <c r="G15" s="68">
        <v>150.69999999999999</v>
      </c>
      <c r="H15" s="68">
        <v>129.80000000000001</v>
      </c>
      <c r="I15" s="68">
        <v>149.1</v>
      </c>
      <c r="J15" s="68">
        <v>118.2</v>
      </c>
      <c r="K15" s="68">
        <v>140.1</v>
      </c>
      <c r="L15" s="68">
        <v>118.5</v>
      </c>
      <c r="M15" s="68">
        <v>149.30000000000001</v>
      </c>
      <c r="N15" s="69">
        <v>117.2</v>
      </c>
      <c r="O15" s="68">
        <v>130.4</v>
      </c>
      <c r="P15" s="68">
        <v>141</v>
      </c>
      <c r="Q15" s="68">
        <v>149.5</v>
      </c>
      <c r="R15" s="68">
        <v>155.80000000000001</v>
      </c>
      <c r="S15" s="68">
        <v>139.6</v>
      </c>
      <c r="T15" s="68">
        <v>152.9</v>
      </c>
      <c r="U15" s="68">
        <v>119.7</v>
      </c>
      <c r="V15" s="69">
        <v>176.6</v>
      </c>
      <c r="W15" s="68">
        <v>129.19999999999999</v>
      </c>
      <c r="X15" s="68">
        <v>192.2</v>
      </c>
      <c r="Y15" s="68">
        <v>121.2</v>
      </c>
      <c r="Z15" s="70">
        <v>1713.4</v>
      </c>
      <c r="AA15" s="70">
        <v>136.30000000000001</v>
      </c>
      <c r="AB15" s="68">
        <v>139.6</v>
      </c>
      <c r="AC15" s="68">
        <v>116</v>
      </c>
      <c r="AD15" s="68">
        <v>162.1</v>
      </c>
      <c r="AE15" s="68">
        <v>120.1</v>
      </c>
      <c r="AF15" s="68">
        <v>152.30000000000001</v>
      </c>
      <c r="AG15" s="68">
        <v>97.7</v>
      </c>
      <c r="AH15" s="68">
        <v>118.8</v>
      </c>
      <c r="AI15" s="68">
        <v>91.5</v>
      </c>
      <c r="AJ15" s="68">
        <v>115.2</v>
      </c>
      <c r="AK15" s="68">
        <v>97.5</v>
      </c>
      <c r="AL15" s="68">
        <v>110.8</v>
      </c>
      <c r="AM15" s="68">
        <v>93.4</v>
      </c>
      <c r="AN15" s="68">
        <v>119.5</v>
      </c>
      <c r="AO15" s="68">
        <v>102</v>
      </c>
      <c r="AP15" s="68">
        <v>118.7</v>
      </c>
      <c r="AQ15" s="71">
        <v>84.2</v>
      </c>
      <c r="AR15" s="68">
        <v>132.80000000000001</v>
      </c>
      <c r="AS15" s="68">
        <v>85.2</v>
      </c>
      <c r="AT15" s="68">
        <v>135.9</v>
      </c>
      <c r="AU15" s="68">
        <v>88.9</v>
      </c>
      <c r="AV15" s="68">
        <v>143.4</v>
      </c>
      <c r="AW15" s="68">
        <v>81.2</v>
      </c>
      <c r="AX15" s="68">
        <v>174.6</v>
      </c>
      <c r="AY15" s="68">
        <v>90.8</v>
      </c>
      <c r="AZ15" s="70">
        <v>1623.7</v>
      </c>
      <c r="BA15" s="70">
        <v>94.8</v>
      </c>
      <c r="BB15" s="68">
        <v>129.1</v>
      </c>
      <c r="BC15" s="68">
        <v>92.5</v>
      </c>
      <c r="BD15" s="68">
        <v>141.19999999999999</v>
      </c>
      <c r="BE15" s="68">
        <v>87.1</v>
      </c>
      <c r="BF15" s="68">
        <v>156.6</v>
      </c>
      <c r="BG15" s="68">
        <v>102.8</v>
      </c>
      <c r="BH15" s="58">
        <v>137.19999999999999</v>
      </c>
      <c r="BI15" s="58">
        <v>115.6</v>
      </c>
      <c r="BJ15" s="58">
        <v>110.6</v>
      </c>
      <c r="BK15" s="58">
        <v>96</v>
      </c>
      <c r="BL15" s="69">
        <v>136</v>
      </c>
      <c r="BM15" s="69">
        <v>122.8</v>
      </c>
      <c r="BN15" s="69">
        <v>138.1</v>
      </c>
      <c r="BO15" s="69">
        <v>115.5</v>
      </c>
      <c r="BP15" s="69">
        <v>132.4</v>
      </c>
      <c r="BQ15" s="69">
        <v>111.6</v>
      </c>
      <c r="BR15" s="69">
        <v>126.8</v>
      </c>
      <c r="BS15" s="69">
        <v>95.4</v>
      </c>
      <c r="BT15" s="72">
        <v>141.4</v>
      </c>
      <c r="BU15" s="71">
        <v>104.1</v>
      </c>
      <c r="BV15" s="71">
        <v>140.80000000000001</v>
      </c>
      <c r="BW15" s="71">
        <v>98.2</v>
      </c>
      <c r="BX15" s="71">
        <v>182.1</v>
      </c>
      <c r="BY15" s="71">
        <v>104.3</v>
      </c>
      <c r="BZ15" s="73">
        <v>1672.3</v>
      </c>
      <c r="CA15" s="73">
        <v>103</v>
      </c>
      <c r="CB15" s="74">
        <v>125.5</v>
      </c>
      <c r="CC15" s="74">
        <v>97.2</v>
      </c>
      <c r="CD15" s="74">
        <v>131.80000000000001</v>
      </c>
      <c r="CE15" s="74">
        <v>93.3</v>
      </c>
      <c r="CF15" s="74">
        <v>127</v>
      </c>
      <c r="CG15" s="74">
        <v>81.099999999999994</v>
      </c>
      <c r="CH15" s="74">
        <v>105.1</v>
      </c>
      <c r="CI15" s="74">
        <v>76.599999999999994</v>
      </c>
      <c r="CJ15" s="74">
        <v>95.8</v>
      </c>
      <c r="CK15" s="74">
        <v>86.5</v>
      </c>
      <c r="CL15" s="74">
        <v>117.9</v>
      </c>
      <c r="CM15" s="74">
        <v>86.7</v>
      </c>
      <c r="CN15" s="74">
        <v>107.7</v>
      </c>
      <c r="CO15" s="74">
        <v>78</v>
      </c>
      <c r="CP15" s="74">
        <v>108.9</v>
      </c>
      <c r="CQ15" s="74">
        <v>82.3</v>
      </c>
      <c r="CR15" s="74">
        <v>119.2</v>
      </c>
      <c r="CS15" s="74">
        <v>94.1</v>
      </c>
      <c r="CT15" s="74">
        <v>125.8</v>
      </c>
      <c r="CU15" s="74">
        <v>88.9</v>
      </c>
      <c r="CV15" s="74">
        <v>138</v>
      </c>
      <c r="CW15" s="74">
        <v>98</v>
      </c>
      <c r="CX15" s="74">
        <v>146.6</v>
      </c>
      <c r="CY15" s="74">
        <v>80.5</v>
      </c>
      <c r="CZ15" s="73">
        <v>1449.3</v>
      </c>
      <c r="DA15" s="73">
        <v>86.7</v>
      </c>
      <c r="DB15" s="74">
        <v>91.9</v>
      </c>
      <c r="DC15" s="57">
        <v>73.3</v>
      </c>
      <c r="DD15" s="57">
        <v>92.5</v>
      </c>
      <c r="DE15" s="57">
        <v>70.2</v>
      </c>
      <c r="DF15" s="57">
        <v>105.6</v>
      </c>
      <c r="DG15" s="58">
        <v>83.2</v>
      </c>
      <c r="DH15" s="58">
        <v>78.400000000000006</v>
      </c>
      <c r="DI15" s="58">
        <v>74.599999999999994</v>
      </c>
      <c r="DJ15" s="57">
        <v>67.2</v>
      </c>
      <c r="DK15" s="58">
        <v>70.2</v>
      </c>
      <c r="DL15" s="75">
        <v>71.5</v>
      </c>
      <c r="DM15" s="75">
        <v>60.6</v>
      </c>
      <c r="DN15" s="75">
        <v>79.099999999999994</v>
      </c>
      <c r="DO15" s="75">
        <v>73.5</v>
      </c>
      <c r="DP15" s="68">
        <v>77.3</v>
      </c>
      <c r="DQ15" s="58">
        <v>70.900000000000006</v>
      </c>
      <c r="DR15" s="57">
        <v>79.3</v>
      </c>
      <c r="DS15" s="58">
        <v>66.5</v>
      </c>
      <c r="DT15" s="57">
        <v>81.2</v>
      </c>
      <c r="DU15" s="58">
        <v>64.599999999999994</v>
      </c>
      <c r="DV15" s="57">
        <v>92.7</v>
      </c>
      <c r="DW15" s="58">
        <v>67.2</v>
      </c>
      <c r="DX15" s="57">
        <v>101.4</v>
      </c>
      <c r="DY15" s="57">
        <v>69.2</v>
      </c>
      <c r="DZ15" s="76">
        <v>1018.1</v>
      </c>
      <c r="EA15" s="76">
        <v>70.3</v>
      </c>
      <c r="EB15" s="31">
        <v>74.099999999999994</v>
      </c>
      <c r="EC15" s="58">
        <v>80.599999999999994</v>
      </c>
      <c r="ED15" s="57">
        <v>80.400000000000006</v>
      </c>
      <c r="EE15" s="58">
        <v>86.9</v>
      </c>
      <c r="EF15" s="82">
        <v>96</v>
      </c>
      <c r="EG15" s="57">
        <v>90.9</v>
      </c>
      <c r="EH15" s="57">
        <v>84.3</v>
      </c>
      <c r="EI15" s="58">
        <v>107.6</v>
      </c>
      <c r="EJ15" s="58">
        <v>73.099999999999994</v>
      </c>
      <c r="EK15" s="58">
        <v>108.8</v>
      </c>
      <c r="EL15" s="58">
        <v>64.599999999999994</v>
      </c>
      <c r="EM15" s="58">
        <v>90.3</v>
      </c>
      <c r="EN15" s="58">
        <v>75.400000000000006</v>
      </c>
      <c r="EO15" s="58">
        <v>95.3</v>
      </c>
      <c r="EP15" s="58">
        <v>84</v>
      </c>
      <c r="EQ15" s="58">
        <v>108.8</v>
      </c>
      <c r="ER15" s="58">
        <v>97.2</v>
      </c>
      <c r="ES15" s="58">
        <v>122.6</v>
      </c>
      <c r="ET15" s="58">
        <v>98.8</v>
      </c>
      <c r="EU15" s="58">
        <v>121.7</v>
      </c>
      <c r="EV15" s="58">
        <v>92.1</v>
      </c>
      <c r="EW15" s="58">
        <v>99.4</v>
      </c>
      <c r="EX15" s="58">
        <v>107.2</v>
      </c>
      <c r="EY15" s="58">
        <v>105.8</v>
      </c>
      <c r="EZ15" s="78">
        <v>1027.4000000000001</v>
      </c>
      <c r="FA15" s="78">
        <v>100.9</v>
      </c>
      <c r="FB15" s="31">
        <v>75.7</v>
      </c>
      <c r="FC15" s="31">
        <v>102.2</v>
      </c>
      <c r="FD15" s="31">
        <v>91.8</v>
      </c>
      <c r="FE15" s="31">
        <v>114.2</v>
      </c>
      <c r="FF15" s="31">
        <v>103.9</v>
      </c>
      <c r="FG15" s="31">
        <v>108.3</v>
      </c>
      <c r="FH15" s="31">
        <v>93.3</v>
      </c>
      <c r="FI15" s="31">
        <v>110.6</v>
      </c>
      <c r="FJ15" s="31">
        <v>88.8</v>
      </c>
      <c r="FK15" s="31">
        <v>121.5</v>
      </c>
      <c r="FL15" s="31">
        <v>89.3</v>
      </c>
      <c r="FM15" s="31">
        <v>138.30000000000001</v>
      </c>
      <c r="FN15" s="31">
        <v>92.4</v>
      </c>
      <c r="FO15" s="31">
        <v>122.5</v>
      </c>
      <c r="FP15" s="31">
        <v>106.9</v>
      </c>
      <c r="FQ15" s="31">
        <v>127.2</v>
      </c>
      <c r="FR15" s="31">
        <v>108.4</v>
      </c>
      <c r="FS15" s="31">
        <v>111.6</v>
      </c>
      <c r="FT15" s="31">
        <v>113.8</v>
      </c>
      <c r="FU15" s="31">
        <v>115.1</v>
      </c>
      <c r="FV15" s="31">
        <v>117.2</v>
      </c>
      <c r="FW15" s="31">
        <v>127.2</v>
      </c>
      <c r="FX15" s="31">
        <v>124.5</v>
      </c>
      <c r="FY15" s="31">
        <v>116.1</v>
      </c>
      <c r="FZ15" s="78">
        <v>1206</v>
      </c>
      <c r="GA15" s="78">
        <v>117.4</v>
      </c>
      <c r="GB15" s="31">
        <v>93.9</v>
      </c>
      <c r="GC15" s="31">
        <v>124.1</v>
      </c>
      <c r="GD15" s="31">
        <v>104.6</v>
      </c>
      <c r="GE15" s="31">
        <v>113.9</v>
      </c>
      <c r="GF15" s="31">
        <v>134.1</v>
      </c>
      <c r="GG15" s="31">
        <v>129</v>
      </c>
      <c r="GH15" s="31">
        <v>91.2</v>
      </c>
      <c r="GI15" s="31">
        <v>97.8</v>
      </c>
      <c r="GJ15" s="28">
        <v>109.3</v>
      </c>
      <c r="GK15" s="29">
        <v>123.1</v>
      </c>
      <c r="GL15" s="28">
        <v>104.4</v>
      </c>
      <c r="GM15" s="29">
        <v>116.8</v>
      </c>
      <c r="GN15" s="28">
        <v>122.2</v>
      </c>
      <c r="GO15" s="29">
        <v>132.30000000000001</v>
      </c>
      <c r="GP15" s="117">
        <v>130.1</v>
      </c>
      <c r="GQ15" s="120">
        <v>121.7</v>
      </c>
      <c r="GR15" s="28">
        <v>124.1</v>
      </c>
      <c r="GS15" s="29">
        <v>114.5</v>
      </c>
      <c r="GT15" s="28">
        <v>131.69999999999999</v>
      </c>
      <c r="GU15" s="120">
        <v>115.7</v>
      </c>
      <c r="GV15" s="28">
        <v>153.69999999999999</v>
      </c>
      <c r="GW15" s="117">
        <v>131.1</v>
      </c>
      <c r="GX15" s="28">
        <v>149.80000000000001</v>
      </c>
      <c r="GY15" s="117">
        <v>120.3</v>
      </c>
      <c r="GZ15" s="122">
        <v>1449.1</v>
      </c>
      <c r="HA15" s="125">
        <v>120.2</v>
      </c>
      <c r="HB15" s="140">
        <v>106.9</v>
      </c>
      <c r="HC15" s="116">
        <f>IF(93876.82061="","-",106949.74572/93876.82061*100)</f>
        <v>113.92561553006777</v>
      </c>
      <c r="HD15" s="140">
        <v>118.8</v>
      </c>
      <c r="HE15" s="116">
        <f>IF(104591.96634="","-",118840.25247/104591.96634*100)</f>
        <v>113.62273473632068</v>
      </c>
      <c r="HF15" s="140">
        <v>141.69999999999999</v>
      </c>
      <c r="HG15" s="116">
        <f>IF(134078.53903="","-",141738.56384/134078.53903*100)</f>
        <v>105.71308791505108</v>
      </c>
      <c r="HH15" s="140">
        <v>131.5</v>
      </c>
      <c r="HI15" s="116">
        <f>IF(91216.04449="","-",131484.47021/91216.04449*100)</f>
        <v>144.14620908541437</v>
      </c>
      <c r="HJ15" s="140">
        <v>100.8</v>
      </c>
      <c r="HK15" s="116">
        <f>IF(109326.06107="","-",100790.86208/109326.06107*100)</f>
        <v>92.192896271516616</v>
      </c>
      <c r="HL15" s="140">
        <v>96.7</v>
      </c>
      <c r="HM15" s="116">
        <f>IF(104372.88955="","-",96711.93859/104372.88955*100)</f>
        <v>92.660018331359879</v>
      </c>
      <c r="HN15" s="140">
        <v>112.4</v>
      </c>
      <c r="HO15" s="116">
        <f>IF(122266.81525="","-",112399.20796/122266.81525*100)</f>
        <v>91.929447683884121</v>
      </c>
      <c r="HP15" s="140">
        <v>109.4</v>
      </c>
      <c r="HQ15" s="116">
        <f>IF(130071.13172="","-",109330.10564/130071.13172*100)</f>
        <v>84.054089631011621</v>
      </c>
      <c r="HR15" s="140">
        <v>113.5</v>
      </c>
      <c r="HS15" s="116">
        <f>IF(124134.22973="","-",113489.53193/124134.22973*100)</f>
        <v>91.424848872746125</v>
      </c>
      <c r="HT15" s="140">
        <v>120.8</v>
      </c>
      <c r="HU15" s="116">
        <f>IF(131695.0675="","-",120868.11634/131695.0675*100)</f>
        <v>91.778772458581244</v>
      </c>
      <c r="HV15" s="140">
        <v>125.2</v>
      </c>
      <c r="HW15" s="116">
        <f>IF(153681.58825="","-",125164.12588/153681.58825*100)</f>
        <v>81.443800331104399</v>
      </c>
      <c r="HX15" s="140">
        <v>139.5</v>
      </c>
      <c r="HY15" s="116">
        <f>IF(149767.61908="","-",139457.65413/149767.61908*100)</f>
        <v>93.116025337564579</v>
      </c>
      <c r="HZ15" s="141">
        <v>1417.2</v>
      </c>
      <c r="IA15" s="142">
        <f>IF(1449078.77262="","-",1417224.57479/1449078.77262*100)</f>
        <v>97.801762165599442</v>
      </c>
      <c r="IB15" s="140">
        <v>101.4</v>
      </c>
      <c r="IC15" s="116">
        <f>IF(106949.74572="","-",101427.29686/106949.74572*100)</f>
        <v>94.836407676500642</v>
      </c>
      <c r="ID15" s="140">
        <v>119.7</v>
      </c>
      <c r="IE15" s="116">
        <f>IF(118840.25247="","-",119707.06078/118840.25247*100)</f>
        <v>100.7293894888172</v>
      </c>
      <c r="IF15" s="140">
        <v>120.1</v>
      </c>
      <c r="IG15" s="116">
        <f>IF(141738.56384="","-",120123.91142/141738.56384*100)</f>
        <v>84.750337639656465</v>
      </c>
      <c r="IH15" s="140">
        <v>70.7</v>
      </c>
      <c r="II15" s="117">
        <f>IF(131484.47021="","-",70675.53779/131484.47021*100)</f>
        <v>53.75200407859635</v>
      </c>
      <c r="IJ15" s="28">
        <v>77.900000000000006</v>
      </c>
      <c r="IK15" s="117">
        <f>IF(100790.86208="","-",77842.5104/100790.86208*100)</f>
        <v>77.23171405976727</v>
      </c>
      <c r="IL15" s="117">
        <v>95.8</v>
      </c>
      <c r="IM15" s="117">
        <f>IF(96711.93859="","-",95852.70431/96711.93859*100)</f>
        <v>99.111553038304152</v>
      </c>
      <c r="IN15" s="28">
        <v>148.19999999999999</v>
      </c>
      <c r="IO15" s="117">
        <f>IF(112399.20796="","-",148241.68494/112399.20796*100)</f>
        <v>131.88854942176766</v>
      </c>
      <c r="IP15" s="28">
        <v>109.2</v>
      </c>
      <c r="IQ15" s="117">
        <f>IF(109330.10564="","-",109174.92074/109330.10564*100)</f>
        <v>99.858058401122392</v>
      </c>
      <c r="IR15" s="116">
        <v>113.5</v>
      </c>
      <c r="IS15" s="116">
        <f>IF(113489.53193="","-",113555.78393/113489.53193*100)</f>
        <v>100.05837719027765</v>
      </c>
      <c r="IT15" s="116">
        <v>109.7</v>
      </c>
      <c r="IU15" s="116">
        <f>IF(120868.11634="","-",109714.77181/120868.11634*100)</f>
        <v>90.772302185444985</v>
      </c>
      <c r="IV15" s="116">
        <v>116.5</v>
      </c>
      <c r="IW15" s="116">
        <f>IF(125164.12588="","-",116515.89865/125164.12588*100)</f>
        <v>93.090490450681202</v>
      </c>
      <c r="IX15" s="116">
        <v>134.9</v>
      </c>
      <c r="IY15" s="117">
        <f>IF(139457.65413="","-",134890.17144/139457.65413*100)</f>
        <v>96.724824665599002</v>
      </c>
      <c r="IZ15" s="142">
        <v>1317.7</v>
      </c>
      <c r="JA15" s="142">
        <f>IF(1417224.57479="","-",1317722.25307/1417224.57479*100)</f>
        <v>92.979071666553352</v>
      </c>
      <c r="JB15" s="213">
        <v>97.6</v>
      </c>
      <c r="JC15" s="116">
        <f>IF(101427.29686="","-",97597.08258/101427.29686*100)</f>
        <v>96.223684946186779</v>
      </c>
      <c r="JD15" s="213">
        <v>122.4</v>
      </c>
      <c r="JE15" s="116">
        <f>IF(119707.06078="","-",122414.76544/119707.06078*100)</f>
        <v>102.26194231347496</v>
      </c>
      <c r="JF15" s="213">
        <v>140.6</v>
      </c>
      <c r="JG15" s="117">
        <f>IF(120123.91142="","-",140571.63143/120123.91142*100)</f>
        <v>117.02218964424726</v>
      </c>
      <c r="JH15" s="229">
        <v>129.9</v>
      </c>
      <c r="JI15" s="116">
        <f>IF(70675.53779="","-",129943.72994/70675.53779*100)</f>
        <v>183.85955594155513</v>
      </c>
      <c r="JJ15" s="213">
        <v>121.7</v>
      </c>
      <c r="JK15" s="116">
        <f>IF(77842.5104="","-",121676.99473/77842.5104*100)</f>
        <v>156.31175575498912</v>
      </c>
      <c r="JL15" s="214">
        <v>130.4</v>
      </c>
      <c r="JM15" s="116">
        <f>IF(95852.70431="","-",130412.22492/95852.70431*100)</f>
        <v>136.05482063211284</v>
      </c>
      <c r="JN15" s="212">
        <v>143.1</v>
      </c>
      <c r="JO15" s="117">
        <f>IF(148241.68494="","-",143056.49028/148241.68494*100)</f>
        <v>96.50220202091019</v>
      </c>
      <c r="JP15" s="215">
        <v>165.5</v>
      </c>
      <c r="JQ15" s="116">
        <f>IF(109174.92074="","-",165486.02107/109174.92074*100)</f>
        <v>151.57878746173293</v>
      </c>
      <c r="JR15" s="215">
        <v>182.5</v>
      </c>
      <c r="JS15" s="116">
        <f>IF(113555.78393="","-",182516.68772/113555.78393*100)</f>
        <v>160.72865811265945</v>
      </c>
      <c r="JT15" s="223">
        <v>202.5</v>
      </c>
      <c r="JU15" s="116">
        <f>IF(109714.77181="","-",202501.64307/109714.77181*100)</f>
        <v>184.57099233700717</v>
      </c>
      <c r="JV15" s="219">
        <v>235.7</v>
      </c>
      <c r="JW15" s="157">
        <f>IF(116515.89865="","-",235664.5483/116515.89865*100)</f>
        <v>202.25956374237688</v>
      </c>
      <c r="JX15" s="223">
        <v>233.8</v>
      </c>
      <c r="JY15" s="116">
        <f>IF(134890.17144="","-",233760.21758/134890.17144*100)</f>
        <v>173.29670137158809</v>
      </c>
      <c r="JZ15" s="156">
        <v>1905.6</v>
      </c>
      <c r="KA15" s="269">
        <f>IF(1317722.25307="","-",1905602.03706/1317722.25307*100)</f>
        <v>144.61333051182604</v>
      </c>
      <c r="KB15" s="155">
        <v>233.1</v>
      </c>
      <c r="KC15" s="250">
        <f>IF(97597.08258="","-",233129.83276/97597.08258*100)</f>
        <v>238.8696737619224</v>
      </c>
      <c r="KD15" s="155">
        <v>202.6</v>
      </c>
      <c r="KE15" s="250">
        <f>IF(122414.76544="","-",202604.77408/122414.76544*100)</f>
        <v>165.50681067906311</v>
      </c>
      <c r="KF15" s="155">
        <v>194.3</v>
      </c>
      <c r="KG15" s="250">
        <f>IF(140571.63143="","-",194296.51595/140571.63143*100)</f>
        <v>138.21886676100306</v>
      </c>
      <c r="KH15" s="155">
        <v>206.8</v>
      </c>
      <c r="KI15" s="250">
        <f>IF(129943.72994="","-",206817.03625/129943.72994*100)</f>
        <v>159.15891928413578</v>
      </c>
      <c r="KJ15" s="155">
        <v>167.1</v>
      </c>
      <c r="KK15" s="250">
        <f>IF(121676.99473="","-",167148.08137/121676.99473*100)</f>
        <v>137.37032356929907</v>
      </c>
      <c r="KL15" s="155">
        <v>150.80000000000001</v>
      </c>
      <c r="KM15" s="157">
        <f>IF(130412.22492="","-",150801.83639/130412.22492*100)</f>
        <v>115.63473936780682</v>
      </c>
      <c r="KN15" s="275">
        <v>166.9</v>
      </c>
      <c r="KO15" s="250">
        <f>IF(143056.49028="","-",166878.34329/143056.49028*100)</f>
        <v>116.65206028987166</v>
      </c>
      <c r="KP15" s="275">
        <v>172.6</v>
      </c>
      <c r="KQ15" s="250">
        <f>IF(165486.02107="","-",172580.29364/165486.02107*100)</f>
        <v>104.28693162366818</v>
      </c>
      <c r="KR15" s="35" t="s">
        <v>329</v>
      </c>
    </row>
    <row r="16" spans="1:408" ht="18.75">
      <c r="A16" s="35" t="s">
        <v>330</v>
      </c>
      <c r="B16" s="68">
        <v>103.4</v>
      </c>
      <c r="C16" s="68">
        <v>144.9</v>
      </c>
      <c r="D16" s="68">
        <v>143.19999999999999</v>
      </c>
      <c r="E16" s="68">
        <v>146.30000000000001</v>
      </c>
      <c r="F16" s="68">
        <v>198.8</v>
      </c>
      <c r="G16" s="68">
        <v>145.5</v>
      </c>
      <c r="H16" s="68">
        <v>197.9</v>
      </c>
      <c r="I16" s="68">
        <v>140.80000000000001</v>
      </c>
      <c r="J16" s="68">
        <v>212.4</v>
      </c>
      <c r="K16" s="68">
        <v>147.4</v>
      </c>
      <c r="L16" s="68">
        <v>200.5</v>
      </c>
      <c r="M16" s="68">
        <v>134.4</v>
      </c>
      <c r="N16" s="68">
        <v>199.6</v>
      </c>
      <c r="O16" s="68">
        <v>130.30000000000001</v>
      </c>
      <c r="P16" s="68">
        <v>178.8</v>
      </c>
      <c r="Q16" s="68">
        <v>131.4</v>
      </c>
      <c r="R16" s="68">
        <v>208.1</v>
      </c>
      <c r="S16" s="68">
        <v>130</v>
      </c>
      <c r="T16" s="68">
        <v>202.1</v>
      </c>
      <c r="U16" s="68">
        <v>125.1</v>
      </c>
      <c r="V16" s="69">
        <v>197</v>
      </c>
      <c r="W16" s="68">
        <v>112</v>
      </c>
      <c r="X16" s="68">
        <v>214.5</v>
      </c>
      <c r="Y16" s="68">
        <v>120.6</v>
      </c>
      <c r="Z16" s="70">
        <v>2256.3000000000002</v>
      </c>
      <c r="AA16" s="70">
        <v>132.4</v>
      </c>
      <c r="AB16" s="68">
        <v>116.2</v>
      </c>
      <c r="AC16" s="68">
        <v>112.4</v>
      </c>
      <c r="AD16" s="68">
        <v>151.80000000000001</v>
      </c>
      <c r="AE16" s="68">
        <v>106</v>
      </c>
      <c r="AF16" s="68">
        <v>200.2</v>
      </c>
      <c r="AG16" s="68">
        <v>100.7</v>
      </c>
      <c r="AH16" s="68">
        <v>198.1</v>
      </c>
      <c r="AI16" s="68">
        <v>100.1</v>
      </c>
      <c r="AJ16" s="68">
        <v>207.3</v>
      </c>
      <c r="AK16" s="68">
        <v>97.6</v>
      </c>
      <c r="AL16" s="68">
        <v>191.8</v>
      </c>
      <c r="AM16" s="68">
        <v>95.7</v>
      </c>
      <c r="AN16" s="68">
        <v>202.5</v>
      </c>
      <c r="AO16" s="68">
        <v>101.5</v>
      </c>
      <c r="AP16" s="68">
        <v>187.2</v>
      </c>
      <c r="AQ16" s="71">
        <v>104.7</v>
      </c>
      <c r="AR16" s="68">
        <v>196.6</v>
      </c>
      <c r="AS16" s="68">
        <v>94.5</v>
      </c>
      <c r="AT16" s="68">
        <v>236.2</v>
      </c>
      <c r="AU16" s="68">
        <v>116.8</v>
      </c>
      <c r="AV16" s="68">
        <v>225.8</v>
      </c>
      <c r="AW16" s="68">
        <v>114.6</v>
      </c>
      <c r="AX16" s="68">
        <v>204.9</v>
      </c>
      <c r="AY16" s="68">
        <v>95.5</v>
      </c>
      <c r="AZ16" s="70">
        <v>2318.6</v>
      </c>
      <c r="BA16" s="70">
        <v>102.8</v>
      </c>
      <c r="BB16" s="68">
        <v>126.5</v>
      </c>
      <c r="BC16" s="68">
        <v>108.9</v>
      </c>
      <c r="BD16" s="68">
        <v>172.4</v>
      </c>
      <c r="BE16" s="68">
        <v>113.4</v>
      </c>
      <c r="BF16" s="68">
        <v>214.6</v>
      </c>
      <c r="BG16" s="68">
        <v>107.1</v>
      </c>
      <c r="BH16" s="58">
        <v>227.9</v>
      </c>
      <c r="BI16" s="58">
        <v>114.9</v>
      </c>
      <c r="BJ16" s="58">
        <v>194.8</v>
      </c>
      <c r="BK16" s="58">
        <v>93.8</v>
      </c>
      <c r="BL16" s="31">
        <v>207.9</v>
      </c>
      <c r="BM16" s="31">
        <v>108.3</v>
      </c>
      <c r="BN16" s="31">
        <v>221.1</v>
      </c>
      <c r="BO16" s="31">
        <v>109.1</v>
      </c>
      <c r="BP16" s="31">
        <v>197.5</v>
      </c>
      <c r="BQ16" s="31">
        <v>105.4</v>
      </c>
      <c r="BR16" s="31">
        <v>212.9</v>
      </c>
      <c r="BS16" s="31">
        <v>108.2</v>
      </c>
      <c r="BT16" s="72">
        <v>227.1</v>
      </c>
      <c r="BU16" s="71">
        <v>96.1</v>
      </c>
      <c r="BV16" s="71">
        <v>230.9</v>
      </c>
      <c r="BW16" s="71">
        <v>102.2</v>
      </c>
      <c r="BX16" s="71">
        <v>238.5</v>
      </c>
      <c r="BY16" s="71">
        <v>116.3</v>
      </c>
      <c r="BZ16" s="73">
        <v>2472.1</v>
      </c>
      <c r="CA16" s="73">
        <v>106.5</v>
      </c>
      <c r="CB16" s="74">
        <v>125.4</v>
      </c>
      <c r="CC16" s="74">
        <v>99.1</v>
      </c>
      <c r="CD16" s="74">
        <v>184.6</v>
      </c>
      <c r="CE16" s="74">
        <v>107.1</v>
      </c>
      <c r="CF16" s="74">
        <v>239.1</v>
      </c>
      <c r="CG16" s="74">
        <v>111.4</v>
      </c>
      <c r="CH16" s="74">
        <v>233.8</v>
      </c>
      <c r="CI16" s="74">
        <v>102.6</v>
      </c>
      <c r="CJ16" s="74">
        <v>229.4</v>
      </c>
      <c r="CK16" s="74">
        <v>117.8</v>
      </c>
      <c r="CL16" s="74">
        <v>230.6</v>
      </c>
      <c r="CM16" s="74">
        <v>110.9</v>
      </c>
      <c r="CN16" s="74">
        <v>235.7</v>
      </c>
      <c r="CO16" s="74">
        <v>106.6</v>
      </c>
      <c r="CP16" s="74">
        <v>208.4</v>
      </c>
      <c r="CQ16" s="74">
        <v>105.5</v>
      </c>
      <c r="CR16" s="74">
        <v>226</v>
      </c>
      <c r="CS16" s="74">
        <v>106.1</v>
      </c>
      <c r="CT16" s="74">
        <v>240.9</v>
      </c>
      <c r="CU16" s="74">
        <v>106.1</v>
      </c>
      <c r="CV16" s="74">
        <v>205.8</v>
      </c>
      <c r="CW16" s="74">
        <v>89.1</v>
      </c>
      <c r="CX16" s="74">
        <v>208</v>
      </c>
      <c r="CY16" s="74">
        <v>87.2</v>
      </c>
      <c r="CZ16" s="73">
        <v>2567.6999999999998</v>
      </c>
      <c r="DA16" s="73">
        <v>103.9</v>
      </c>
      <c r="DB16" s="74">
        <v>108.5</v>
      </c>
      <c r="DC16" s="57">
        <v>86.5</v>
      </c>
      <c r="DD16" s="57">
        <v>133.69999999999999</v>
      </c>
      <c r="DE16" s="57">
        <v>72.400000000000006</v>
      </c>
      <c r="DF16" s="57">
        <v>190.9</v>
      </c>
      <c r="DG16" s="58">
        <v>79.8</v>
      </c>
      <c r="DH16" s="58">
        <v>174.1</v>
      </c>
      <c r="DI16" s="58">
        <v>74.5</v>
      </c>
      <c r="DJ16" s="57">
        <v>171.3</v>
      </c>
      <c r="DK16" s="58">
        <v>74.7</v>
      </c>
      <c r="DL16" s="75">
        <v>183.8</v>
      </c>
      <c r="DM16" s="75">
        <v>79.7</v>
      </c>
      <c r="DN16" s="75">
        <v>177.3</v>
      </c>
      <c r="DO16" s="75">
        <v>75.2</v>
      </c>
      <c r="DP16" s="68">
        <v>150.4</v>
      </c>
      <c r="DQ16" s="58">
        <v>72.2</v>
      </c>
      <c r="DR16" s="57">
        <v>171.6</v>
      </c>
      <c r="DS16" s="58">
        <v>75.900000000000006</v>
      </c>
      <c r="DT16" s="57">
        <v>172.9</v>
      </c>
      <c r="DU16" s="58">
        <v>71.7</v>
      </c>
      <c r="DV16" s="58">
        <v>163</v>
      </c>
      <c r="DW16" s="58">
        <v>79.2</v>
      </c>
      <c r="DX16" s="57">
        <v>156.80000000000001</v>
      </c>
      <c r="DY16" s="57">
        <v>75.400000000000006</v>
      </c>
      <c r="DZ16" s="76">
        <v>1954.3</v>
      </c>
      <c r="EA16" s="76">
        <v>76.099999999999994</v>
      </c>
      <c r="EB16" s="31">
        <v>84.9</v>
      </c>
      <c r="EC16" s="58">
        <v>78.3</v>
      </c>
      <c r="ED16" s="57">
        <v>132.4</v>
      </c>
      <c r="EE16" s="58">
        <v>99.1</v>
      </c>
      <c r="EF16" s="82">
        <v>181.1</v>
      </c>
      <c r="EG16" s="57">
        <v>94.9</v>
      </c>
      <c r="EH16" s="57">
        <v>183.2</v>
      </c>
      <c r="EI16" s="58">
        <v>105.2</v>
      </c>
      <c r="EJ16" s="58">
        <v>166.5</v>
      </c>
      <c r="EK16" s="58">
        <v>97.2</v>
      </c>
      <c r="EL16" s="58">
        <v>174.6</v>
      </c>
      <c r="EM16" s="58">
        <v>95</v>
      </c>
      <c r="EN16" s="58">
        <v>164.9</v>
      </c>
      <c r="EO16" s="58">
        <v>93</v>
      </c>
      <c r="EP16" s="58">
        <v>174.5</v>
      </c>
      <c r="EQ16" s="58">
        <v>116</v>
      </c>
      <c r="ER16" s="58">
        <v>172.9</v>
      </c>
      <c r="ES16" s="58">
        <v>100.8</v>
      </c>
      <c r="ET16" s="58">
        <v>190.3</v>
      </c>
      <c r="EU16" s="58">
        <v>110.1</v>
      </c>
      <c r="EV16" s="58">
        <v>169.7</v>
      </c>
      <c r="EW16" s="58">
        <v>104.1</v>
      </c>
      <c r="EX16" s="58">
        <v>178.5</v>
      </c>
      <c r="EY16" s="58">
        <v>113.8</v>
      </c>
      <c r="EZ16" s="78">
        <v>1973.7</v>
      </c>
      <c r="FA16" s="78">
        <v>101</v>
      </c>
      <c r="FB16" s="31">
        <v>120</v>
      </c>
      <c r="FC16" s="31">
        <v>141.30000000000001</v>
      </c>
      <c r="FD16" s="31">
        <v>153.4</v>
      </c>
      <c r="FE16" s="31">
        <v>115.8</v>
      </c>
      <c r="FF16" s="31">
        <v>217.3</v>
      </c>
      <c r="FG16" s="31">
        <v>120</v>
      </c>
      <c r="FH16" s="31">
        <v>182</v>
      </c>
      <c r="FI16" s="31">
        <v>99.4</v>
      </c>
      <c r="FJ16" s="31">
        <v>204.9</v>
      </c>
      <c r="FK16" s="31">
        <v>123</v>
      </c>
      <c r="FL16" s="31">
        <v>195.2</v>
      </c>
      <c r="FM16" s="31">
        <v>111.8</v>
      </c>
      <c r="FN16" s="31">
        <v>209.1</v>
      </c>
      <c r="FO16" s="31">
        <v>126.7</v>
      </c>
      <c r="FP16" s="31">
        <v>216.7</v>
      </c>
      <c r="FQ16" s="31">
        <v>124.2</v>
      </c>
      <c r="FR16" s="31">
        <v>215.2</v>
      </c>
      <c r="FS16" s="31">
        <v>124.4</v>
      </c>
      <c r="FT16" s="31">
        <v>231.3</v>
      </c>
      <c r="FU16" s="31">
        <v>121.6</v>
      </c>
      <c r="FV16" s="31">
        <v>224.7</v>
      </c>
      <c r="FW16" s="31">
        <v>132.4</v>
      </c>
      <c r="FX16" s="31">
        <v>219.4</v>
      </c>
      <c r="FY16" s="31">
        <v>122.9</v>
      </c>
      <c r="FZ16" s="78">
        <v>2389.1999999999998</v>
      </c>
      <c r="GA16" s="78">
        <v>121</v>
      </c>
      <c r="GB16" s="31">
        <v>176</v>
      </c>
      <c r="GC16" s="31">
        <v>146.6</v>
      </c>
      <c r="GD16" s="31">
        <v>211.4</v>
      </c>
      <c r="GE16" s="31">
        <v>137.9</v>
      </c>
      <c r="GF16" s="31">
        <v>256.10000000000002</v>
      </c>
      <c r="GG16" s="31">
        <v>117.9</v>
      </c>
      <c r="GH16" s="31">
        <v>244.8</v>
      </c>
      <c r="GI16" s="31">
        <v>134.5</v>
      </c>
      <c r="GJ16" s="28">
        <v>262</v>
      </c>
      <c r="GK16" s="29">
        <v>127.9</v>
      </c>
      <c r="GL16" s="28">
        <v>245.4</v>
      </c>
      <c r="GM16" s="29">
        <v>125.7</v>
      </c>
      <c r="GN16" s="28">
        <v>250.6</v>
      </c>
      <c r="GO16" s="29">
        <v>119.9</v>
      </c>
      <c r="GP16" s="117">
        <v>227.3</v>
      </c>
      <c r="GQ16" s="120">
        <v>104.9</v>
      </c>
      <c r="GR16" s="28">
        <v>233.6</v>
      </c>
      <c r="GS16" s="29">
        <v>108.5</v>
      </c>
      <c r="GT16" s="28">
        <v>269.39999999999998</v>
      </c>
      <c r="GU16" s="120">
        <v>116.5</v>
      </c>
      <c r="GV16" s="28">
        <v>236.8</v>
      </c>
      <c r="GW16" s="117">
        <v>105.4</v>
      </c>
      <c r="GX16" s="28">
        <v>237.5</v>
      </c>
      <c r="GY16" s="117">
        <v>108.2</v>
      </c>
      <c r="GZ16" s="122">
        <v>2850.8</v>
      </c>
      <c r="HA16" s="125">
        <v>119.3</v>
      </c>
      <c r="HB16" s="140">
        <v>166.7</v>
      </c>
      <c r="HC16" s="116">
        <f>IF(175909.07231="","-",166568.97695/175909.07231*100)</f>
        <v>94.690384505274309</v>
      </c>
      <c r="HD16" s="140">
        <v>221</v>
      </c>
      <c r="HE16" s="116">
        <f>IF(211421.2261="","-",220989.21591/211421.2261*100)</f>
        <v>104.52555781011053</v>
      </c>
      <c r="HF16" s="140">
        <v>265.60000000000002</v>
      </c>
      <c r="HG16" s="116">
        <f>IF(256122.1882="","-",265628.03337/256122.1882*100)</f>
        <v>103.71144930347742</v>
      </c>
      <c r="HH16" s="140">
        <v>263.7</v>
      </c>
      <c r="HI16" s="116">
        <f>IF(244837.46313="","-",263728.74603/244837.46313*100)</f>
        <v>107.71584652875177</v>
      </c>
      <c r="HJ16" s="140">
        <v>247.9</v>
      </c>
      <c r="HK16" s="116">
        <f>IF(261988.12269="","-",247886.93877/261988.12269*100)</f>
        <v>94.617624732291645</v>
      </c>
      <c r="HL16" s="140">
        <v>238</v>
      </c>
      <c r="HM16" s="116">
        <f>IF(245384.01348="","-",238021.9018/245384.01348*100)</f>
        <v>96.999759040700482</v>
      </c>
      <c r="HN16" s="140">
        <v>259.2</v>
      </c>
      <c r="HO16" s="116">
        <f>IF(250601.53334="","-",259224.73442/250601.53334*100)</f>
        <v>103.44100092488284</v>
      </c>
      <c r="HP16" s="140">
        <v>224.7</v>
      </c>
      <c r="HQ16" s="116">
        <f>IF(227307.74243="","-",224694.14326/227307.74243*100)</f>
        <v>98.850193512082029</v>
      </c>
      <c r="HR16" s="140">
        <v>248</v>
      </c>
      <c r="HS16" s="116">
        <f>IF(233546.38308="","-",248047.46652/233546.38308*100)</f>
        <v>106.20908071825403</v>
      </c>
      <c r="HT16" s="140">
        <v>256.5</v>
      </c>
      <c r="HU16" s="116">
        <f>IF(269420.81714="","-",256484.12705/269420.81714*100)</f>
        <v>95.198333140205108</v>
      </c>
      <c r="HV16" s="140">
        <v>250.1</v>
      </c>
      <c r="HW16" s="116">
        <f>IF(236770.08341="","-",250104.62142/236770.08341*100)</f>
        <v>105.63185087319897</v>
      </c>
      <c r="HX16" s="140">
        <v>248.6</v>
      </c>
      <c r="HY16" s="116">
        <f>IF(237491.68493="","-",248601.80318/237491.68493*100)</f>
        <v>104.67810831072872</v>
      </c>
      <c r="HZ16" s="141">
        <v>2890</v>
      </c>
      <c r="IA16" s="142">
        <f>IF(2850800.33024="","-",2889980.70868/2850800.33024*100)</f>
        <v>101.37436417501402</v>
      </c>
      <c r="IB16" s="140">
        <v>171.4</v>
      </c>
      <c r="IC16" s="116">
        <f>IF(163682.56123="","-",171390.38547/163682.56123*100)</f>
        <v>104.70900759499315</v>
      </c>
      <c r="ID16" s="140">
        <v>229.4</v>
      </c>
      <c r="IE16" s="116">
        <f>IF(214947.24277="","-",229390.16537/214947.24277*100)</f>
        <v>106.71928721386502</v>
      </c>
      <c r="IF16" s="140">
        <v>246.6</v>
      </c>
      <c r="IG16" s="116">
        <f>IF(260047.16269="","-",246567.02835/260047.16269*100)</f>
        <v>94.81627324806864</v>
      </c>
      <c r="IH16" s="140">
        <v>130.1</v>
      </c>
      <c r="II16" s="117">
        <f>IF(258686.04111="","-",130159.19594/258686.04111*100)</f>
        <v>50.315508089071173</v>
      </c>
      <c r="IJ16" s="28">
        <v>149.1</v>
      </c>
      <c r="IK16" s="117">
        <f>IF(243907.31671="","-",149081.08534/243907.31671*100)</f>
        <v>61.122022639957883</v>
      </c>
      <c r="IL16" s="117">
        <v>191.8</v>
      </c>
      <c r="IM16" s="117">
        <f>IF(234008.64165="","-",191807.43184/234008.64165*100)</f>
        <v>81.965960952365535</v>
      </c>
      <c r="IN16" s="28">
        <v>208.3</v>
      </c>
      <c r="IO16" s="117">
        <f>IF(253424.54096="","-",208292.34216/253424.54096*100)</f>
        <v>82.191070119320614</v>
      </c>
      <c r="IP16" s="28">
        <v>194.5</v>
      </c>
      <c r="IQ16" s="117">
        <f>IF(220093.29682="","-",194559.40464/220093.29682*100)</f>
        <v>88.39860525108017</v>
      </c>
      <c r="IR16" s="116">
        <v>230.6</v>
      </c>
      <c r="IS16" s="116">
        <f>IF(243009.86696="","-",230572.81374/243009.86696*100)</f>
        <v>94.882078914907936</v>
      </c>
      <c r="IT16" s="116">
        <v>230.8</v>
      </c>
      <c r="IU16" s="116">
        <f>IF(252598.92971="","-",230774.75766/252598.92971*100)</f>
        <v>91.360148645500772</v>
      </c>
      <c r="IV16" s="116">
        <v>240.6</v>
      </c>
      <c r="IW16" s="116">
        <f>IF(244529.71857="","-",240556.67667/244529.71857*100)</f>
        <v>98.375231475652853</v>
      </c>
      <c r="IX16" s="116">
        <v>247.6</v>
      </c>
      <c r="IY16" s="117">
        <f>IF(242311.50821="","-",247593.81754/242311.50821*100)</f>
        <v>102.17996634539621</v>
      </c>
      <c r="IZ16" s="142">
        <v>2470.8000000000002</v>
      </c>
      <c r="JA16" s="142">
        <f>IF(2831246.82739="","-",2470745.10472/2831246.82739*100)</f>
        <v>87.267033054750286</v>
      </c>
      <c r="JB16" s="201">
        <v>174.4</v>
      </c>
      <c r="JC16" s="116">
        <f>IF(171390.38547="","-",174416.60402/171390.38547*100)</f>
        <v>101.76568746356527</v>
      </c>
      <c r="JD16" s="201">
        <v>251.3</v>
      </c>
      <c r="JE16" s="116">
        <f>IF(229390.16537="","-",251289.72557/229390.16537*100)</f>
        <v>109.54686098450499</v>
      </c>
      <c r="JF16" s="201">
        <v>305.60000000000002</v>
      </c>
      <c r="JG16" s="117">
        <f>IF(246567.02835="","-",305620.55901/246567.02835*100)</f>
        <v>123.95029499896231</v>
      </c>
      <c r="JH16" s="201">
        <v>273.60000000000002</v>
      </c>
      <c r="JI16" s="116">
        <f>IF(130159.19594="","-",273545.97857/130159.19594*100)</f>
        <v>210.16262169912108</v>
      </c>
      <c r="JJ16" s="211">
        <v>262.10000000000002</v>
      </c>
      <c r="JK16" s="116">
        <f>IF(149081.08534="","-",262119.44622/149081.08534*100)</f>
        <v>175.82340886652418</v>
      </c>
      <c r="JL16" s="214">
        <v>281.39999999999998</v>
      </c>
      <c r="JM16" s="116">
        <f>IF(191807.43184="","-",281414.91575/191807.43184*100)</f>
        <v>146.71742020129224</v>
      </c>
      <c r="JN16" s="212">
        <v>259.2</v>
      </c>
      <c r="JO16" s="117">
        <f>IF(208292.34216="","-",259242.18518/208292.34216*100)</f>
        <v>124.4607374863848</v>
      </c>
      <c r="JP16" s="215">
        <v>242</v>
      </c>
      <c r="JQ16" s="116">
        <f>IF(194559.40464="","-",242015.44973/194559.40464*100)</f>
        <v>124.39154518272173</v>
      </c>
      <c r="JR16" s="215">
        <v>273.39999999999998</v>
      </c>
      <c r="JS16" s="116">
        <f>IF(230572.81374="","-",273403.50152/230572.81374*100)</f>
        <v>118.57577529859917</v>
      </c>
      <c r="JT16" s="223">
        <v>265.60000000000002</v>
      </c>
      <c r="JU16" s="116">
        <f>IF(230774.75766="","-",265649.20637/230774.75766*100)</f>
        <v>115.11189917979698</v>
      </c>
      <c r="JV16" s="219">
        <v>266.10000000000002</v>
      </c>
      <c r="JW16" s="157">
        <f>IF(240556.67667="","-",266114.95641/240556.67667*100)</f>
        <v>110.6246395210478</v>
      </c>
      <c r="JX16" s="223">
        <v>294.10000000000002</v>
      </c>
      <c r="JY16" s="116">
        <f>IF(247593.81754="","-",294132.387/247593.81754*100)</f>
        <v>118.79633745397599</v>
      </c>
      <c r="JZ16" s="156">
        <v>3149</v>
      </c>
      <c r="KA16" s="269">
        <f>IF(2470745.10472="","-",3148990.55968/2470745.10472*100)</f>
        <v>127.45104922657988</v>
      </c>
      <c r="KB16" s="155">
        <v>232.5</v>
      </c>
      <c r="KC16" s="250">
        <f>IF(174416.60402="","-",232437.4027/174416.60402*100)</f>
        <v>133.26563947624325</v>
      </c>
      <c r="KD16" s="155">
        <v>306.2</v>
      </c>
      <c r="KE16" s="250">
        <f>IF(251289.72557="","-",306216.8586/251289.72557*100)</f>
        <v>121.85808946442552</v>
      </c>
      <c r="KF16" s="155">
        <v>365.6</v>
      </c>
      <c r="KG16" s="250">
        <f>IF(305620.55901="","-",365624.29716/305620.55901*100)</f>
        <v>119.63341024712825</v>
      </c>
      <c r="KH16" s="155">
        <v>337.6</v>
      </c>
      <c r="KI16" s="250">
        <f>IF(273545.97857="","-",337621.05604/273545.97857*100)</f>
        <v>123.4238784298572</v>
      </c>
      <c r="KJ16" s="155">
        <v>367.5</v>
      </c>
      <c r="KK16" s="250">
        <f>IF(262119.44622="","-",367496.64303/262119.44622*100)</f>
        <v>140.20197598065869</v>
      </c>
      <c r="KL16" s="155">
        <v>388</v>
      </c>
      <c r="KM16" s="157">
        <f>IF(281414.91575="","-",388033.8745/281414.91575*100)</f>
        <v>137.88674756839004</v>
      </c>
      <c r="KN16" s="155">
        <v>365.5</v>
      </c>
      <c r="KO16" s="250">
        <f>IF(259242.18518="","-",365483.46376/259242.18518*100)</f>
        <v>140.98147780471507</v>
      </c>
      <c r="KP16" s="155">
        <v>354.7</v>
      </c>
      <c r="KQ16" s="250">
        <f>IF(242015.44973="","-",354748.04515/242015.44973*100)</f>
        <v>146.5807433144322</v>
      </c>
      <c r="KR16" s="35" t="s">
        <v>330</v>
      </c>
    </row>
    <row r="17" spans="1:304">
      <c r="A17" s="35" t="s">
        <v>169</v>
      </c>
      <c r="B17" s="68">
        <v>61.1</v>
      </c>
      <c r="C17" s="68">
        <v>147.30000000000001</v>
      </c>
      <c r="D17" s="68">
        <v>77.7</v>
      </c>
      <c r="E17" s="68">
        <v>138.19999999999999</v>
      </c>
      <c r="F17" s="68">
        <v>102.8</v>
      </c>
      <c r="G17" s="68">
        <v>141.80000000000001</v>
      </c>
      <c r="H17" s="68">
        <v>93.4</v>
      </c>
      <c r="I17" s="68">
        <v>143.1</v>
      </c>
      <c r="J17" s="68">
        <v>107.1</v>
      </c>
      <c r="K17" s="68">
        <v>156.19999999999999</v>
      </c>
      <c r="L17" s="68">
        <v>98.3</v>
      </c>
      <c r="M17" s="68">
        <v>104.4</v>
      </c>
      <c r="N17" s="68">
        <v>98</v>
      </c>
      <c r="O17" s="68">
        <v>138.30000000000001</v>
      </c>
      <c r="P17" s="68">
        <v>100.9</v>
      </c>
      <c r="Q17" s="68">
        <v>141.80000000000001</v>
      </c>
      <c r="R17" s="68">
        <v>120</v>
      </c>
      <c r="S17" s="68">
        <v>163.5</v>
      </c>
      <c r="T17" s="68">
        <v>112.8</v>
      </c>
      <c r="U17" s="68">
        <v>134.19999999999999</v>
      </c>
      <c r="V17" s="69">
        <v>121.3</v>
      </c>
      <c r="W17" s="68">
        <v>130.5</v>
      </c>
      <c r="X17" s="68">
        <v>128.19999999999999</v>
      </c>
      <c r="Y17" s="68">
        <v>123.8</v>
      </c>
      <c r="Z17" s="70">
        <v>1221.5999999999999</v>
      </c>
      <c r="AA17" s="70">
        <v>136.6</v>
      </c>
      <c r="AB17" s="68">
        <v>83.1</v>
      </c>
      <c r="AC17" s="68">
        <v>136.19999999999999</v>
      </c>
      <c r="AD17" s="68">
        <v>75.099999999999994</v>
      </c>
      <c r="AE17" s="68">
        <v>96.6</v>
      </c>
      <c r="AF17" s="68">
        <v>123.8</v>
      </c>
      <c r="AG17" s="68">
        <v>120.4</v>
      </c>
      <c r="AH17" s="68">
        <v>109.7</v>
      </c>
      <c r="AI17" s="68">
        <v>117.5</v>
      </c>
      <c r="AJ17" s="68">
        <v>105.6</v>
      </c>
      <c r="AK17" s="68">
        <v>98.7</v>
      </c>
      <c r="AL17" s="68">
        <v>99.2</v>
      </c>
      <c r="AM17" s="68">
        <v>100.9</v>
      </c>
      <c r="AN17" s="68">
        <v>94.6</v>
      </c>
      <c r="AO17" s="68">
        <v>96.5</v>
      </c>
      <c r="AP17" s="68">
        <v>100.7</v>
      </c>
      <c r="AQ17" s="71">
        <v>99.9</v>
      </c>
      <c r="AR17" s="68">
        <v>120.3</v>
      </c>
      <c r="AS17" s="68">
        <v>100.2</v>
      </c>
      <c r="AT17" s="68">
        <v>124.9</v>
      </c>
      <c r="AU17" s="68">
        <v>110.7</v>
      </c>
      <c r="AV17" s="68">
        <v>108.7</v>
      </c>
      <c r="AW17" s="68">
        <v>89.6</v>
      </c>
      <c r="AX17" s="68">
        <v>124.9</v>
      </c>
      <c r="AY17" s="68">
        <v>97.4</v>
      </c>
      <c r="AZ17" s="70">
        <v>1270.5999999999999</v>
      </c>
      <c r="BA17" s="70">
        <v>104</v>
      </c>
      <c r="BB17" s="68">
        <v>92.6</v>
      </c>
      <c r="BC17" s="68">
        <v>111.5</v>
      </c>
      <c r="BD17" s="68">
        <v>92.9</v>
      </c>
      <c r="BE17" s="68">
        <v>124</v>
      </c>
      <c r="BF17" s="68">
        <v>116.8</v>
      </c>
      <c r="BG17" s="68">
        <v>94.5</v>
      </c>
      <c r="BH17" s="58">
        <v>121</v>
      </c>
      <c r="BI17" s="58">
        <v>110.5</v>
      </c>
      <c r="BJ17" s="58">
        <v>104.4</v>
      </c>
      <c r="BK17" s="58">
        <v>99.1</v>
      </c>
      <c r="BL17" s="31">
        <v>111.4</v>
      </c>
      <c r="BM17" s="31">
        <v>112.4</v>
      </c>
      <c r="BN17" s="31">
        <v>116.8</v>
      </c>
      <c r="BO17" s="31">
        <v>123.6</v>
      </c>
      <c r="BP17" s="31">
        <v>114.5</v>
      </c>
      <c r="BQ17" s="31">
        <v>113.7</v>
      </c>
      <c r="BR17" s="31">
        <v>116.1</v>
      </c>
      <c r="BS17" s="31">
        <v>96.7</v>
      </c>
      <c r="BT17" s="72">
        <v>111.8</v>
      </c>
      <c r="BU17" s="71">
        <v>89.6</v>
      </c>
      <c r="BV17" s="71">
        <v>115.4</v>
      </c>
      <c r="BW17" s="71">
        <v>106.3</v>
      </c>
      <c r="BX17" s="71">
        <v>134.30000000000001</v>
      </c>
      <c r="BY17" s="71">
        <v>107.7</v>
      </c>
      <c r="BZ17" s="73">
        <v>1348</v>
      </c>
      <c r="CA17" s="73">
        <v>106.2</v>
      </c>
      <c r="CB17" s="74">
        <v>68.599999999999994</v>
      </c>
      <c r="CC17" s="74">
        <v>74.099999999999994</v>
      </c>
      <c r="CD17" s="74">
        <v>99.3</v>
      </c>
      <c r="CE17" s="74">
        <v>106.9</v>
      </c>
      <c r="CF17" s="74">
        <v>116.9</v>
      </c>
      <c r="CG17" s="74">
        <v>100.2</v>
      </c>
      <c r="CH17" s="74">
        <v>104.3</v>
      </c>
      <c r="CI17" s="74">
        <v>86.2</v>
      </c>
      <c r="CJ17" s="74">
        <v>108.3</v>
      </c>
      <c r="CK17" s="74">
        <v>103.8</v>
      </c>
      <c r="CL17" s="74">
        <v>103.6</v>
      </c>
      <c r="CM17" s="74">
        <v>93</v>
      </c>
      <c r="CN17" s="74">
        <v>103.6</v>
      </c>
      <c r="CO17" s="74">
        <v>88.7</v>
      </c>
      <c r="CP17" s="74">
        <v>95.6</v>
      </c>
      <c r="CQ17" s="74">
        <v>83.5</v>
      </c>
      <c r="CR17" s="74">
        <v>113.7</v>
      </c>
      <c r="CS17" s="74">
        <v>97.9</v>
      </c>
      <c r="CT17" s="74">
        <v>115.1</v>
      </c>
      <c r="CU17" s="74">
        <v>102.9</v>
      </c>
      <c r="CV17" s="74">
        <v>120.5</v>
      </c>
      <c r="CW17" s="74">
        <v>104.4</v>
      </c>
      <c r="CX17" s="74">
        <v>150.5</v>
      </c>
      <c r="CY17" s="74">
        <v>112.1</v>
      </c>
      <c r="CZ17" s="73">
        <v>1300</v>
      </c>
      <c r="DA17" s="73">
        <v>96.4</v>
      </c>
      <c r="DB17" s="74">
        <v>68.900000000000006</v>
      </c>
      <c r="DC17" s="57">
        <v>100.4</v>
      </c>
      <c r="DD17" s="57">
        <v>78.099999999999994</v>
      </c>
      <c r="DE17" s="57">
        <v>78.7</v>
      </c>
      <c r="DF17" s="57">
        <v>106.1</v>
      </c>
      <c r="DG17" s="58">
        <v>90.6</v>
      </c>
      <c r="DH17" s="58">
        <v>77</v>
      </c>
      <c r="DI17" s="58">
        <v>73.900000000000006</v>
      </c>
      <c r="DJ17" s="57">
        <v>89.5</v>
      </c>
      <c r="DK17" s="58">
        <v>82.6</v>
      </c>
      <c r="DL17" s="75">
        <v>96.4</v>
      </c>
      <c r="DM17" s="68">
        <v>93</v>
      </c>
      <c r="DN17" s="75">
        <v>84.5</v>
      </c>
      <c r="DO17" s="68">
        <v>81.599999999999994</v>
      </c>
      <c r="DP17" s="68">
        <v>70.900000000000006</v>
      </c>
      <c r="DQ17" s="58">
        <v>74.2</v>
      </c>
      <c r="DR17" s="57">
        <v>86.7</v>
      </c>
      <c r="DS17" s="58">
        <v>76.3</v>
      </c>
      <c r="DT17" s="57">
        <v>83</v>
      </c>
      <c r="DU17" s="58">
        <v>72.2</v>
      </c>
      <c r="DV17" s="57">
        <v>78.900000000000006</v>
      </c>
      <c r="DW17" s="58">
        <v>65.5</v>
      </c>
      <c r="DX17" s="57">
        <v>94.4</v>
      </c>
      <c r="DY17" s="57">
        <v>62.8</v>
      </c>
      <c r="DZ17" s="76">
        <v>1014.4</v>
      </c>
      <c r="EA17" s="79">
        <v>78</v>
      </c>
      <c r="EB17" s="31">
        <v>48.3</v>
      </c>
      <c r="EC17" s="58">
        <v>70.2</v>
      </c>
      <c r="ED17" s="57">
        <v>74.2</v>
      </c>
      <c r="EE17" s="58">
        <v>95</v>
      </c>
      <c r="EF17" s="82">
        <v>89.7</v>
      </c>
      <c r="EG17" s="57">
        <v>84.6</v>
      </c>
      <c r="EH17" s="57">
        <v>87.4</v>
      </c>
      <c r="EI17" s="58">
        <v>113.7</v>
      </c>
      <c r="EJ17" s="58">
        <v>88.1</v>
      </c>
      <c r="EK17" s="58">
        <v>98.6</v>
      </c>
      <c r="EL17" s="58">
        <v>85.4</v>
      </c>
      <c r="EM17" s="58">
        <v>88.7</v>
      </c>
      <c r="EN17" s="58">
        <v>73.8</v>
      </c>
      <c r="EO17" s="58">
        <v>87.3</v>
      </c>
      <c r="EP17" s="58">
        <v>92.6</v>
      </c>
      <c r="EQ17" s="58">
        <v>130.6</v>
      </c>
      <c r="ER17" s="58">
        <v>91.5</v>
      </c>
      <c r="ES17" s="58">
        <v>105.5</v>
      </c>
      <c r="ET17" s="58">
        <v>91.1</v>
      </c>
      <c r="EU17" s="58">
        <v>109.8</v>
      </c>
      <c r="EV17" s="58">
        <v>91.7</v>
      </c>
      <c r="EW17" s="58">
        <v>116.2</v>
      </c>
      <c r="EX17" s="58">
        <v>105.7</v>
      </c>
      <c r="EY17" s="58">
        <v>111.8</v>
      </c>
      <c r="EZ17" s="78">
        <v>1019.2</v>
      </c>
      <c r="FA17" s="78">
        <v>100.5</v>
      </c>
      <c r="FB17" s="31">
        <v>71.099999999999994</v>
      </c>
      <c r="FC17" s="31">
        <v>147.19999999999999</v>
      </c>
      <c r="FD17" s="31">
        <v>87.5</v>
      </c>
      <c r="FE17" s="31">
        <v>118</v>
      </c>
      <c r="FF17" s="31">
        <v>110</v>
      </c>
      <c r="FG17" s="31">
        <v>122.6</v>
      </c>
      <c r="FH17" s="31">
        <v>86.2</v>
      </c>
      <c r="FI17" s="31">
        <v>98.7</v>
      </c>
      <c r="FJ17" s="31">
        <v>106.7</v>
      </c>
      <c r="FK17" s="31">
        <v>121.2</v>
      </c>
      <c r="FL17" s="31">
        <v>104.3</v>
      </c>
      <c r="FM17" s="31">
        <v>122.1</v>
      </c>
      <c r="FN17" s="31">
        <v>95.4</v>
      </c>
      <c r="FO17" s="31">
        <v>129.30000000000001</v>
      </c>
      <c r="FP17" s="31">
        <v>106.1</v>
      </c>
      <c r="FQ17" s="31">
        <v>114.6</v>
      </c>
      <c r="FR17" s="31">
        <v>107.2</v>
      </c>
      <c r="FS17" s="31">
        <v>117.1</v>
      </c>
      <c r="FT17" s="31">
        <v>120.8</v>
      </c>
      <c r="FU17" s="31">
        <v>132.6</v>
      </c>
      <c r="FV17" s="31">
        <v>113.4</v>
      </c>
      <c r="FW17" s="31">
        <v>123.7</v>
      </c>
      <c r="FX17" s="31">
        <v>127.5</v>
      </c>
      <c r="FY17" s="31">
        <v>120.7</v>
      </c>
      <c r="FZ17" s="78">
        <v>1236.0999999999999</v>
      </c>
      <c r="GA17" s="78">
        <v>121.3</v>
      </c>
      <c r="GB17" s="31">
        <v>104.4</v>
      </c>
      <c r="GC17" s="31">
        <v>146.9</v>
      </c>
      <c r="GD17" s="31">
        <v>111.6</v>
      </c>
      <c r="GE17" s="31">
        <v>127.5</v>
      </c>
      <c r="GF17" s="31">
        <v>133.9</v>
      </c>
      <c r="GG17" s="31">
        <v>121.8</v>
      </c>
      <c r="GH17" s="31">
        <v>108.6</v>
      </c>
      <c r="GI17" s="31">
        <v>125.9</v>
      </c>
      <c r="GJ17" s="26">
        <v>134.30000000000001</v>
      </c>
      <c r="GK17" s="27">
        <v>125.8</v>
      </c>
      <c r="GL17" s="26">
        <v>108.9</v>
      </c>
      <c r="GM17" s="29">
        <v>104.5</v>
      </c>
      <c r="GN17" s="26">
        <v>115.2</v>
      </c>
      <c r="GO17" s="29">
        <v>120.7</v>
      </c>
      <c r="GP17" s="116">
        <v>123.3</v>
      </c>
      <c r="GQ17" s="120">
        <v>116.2</v>
      </c>
      <c r="GR17" s="26">
        <v>116.3</v>
      </c>
      <c r="GS17" s="29">
        <v>108.5</v>
      </c>
      <c r="GT17" s="26">
        <v>139.5</v>
      </c>
      <c r="GU17" s="120">
        <v>115.5</v>
      </c>
      <c r="GV17" s="26">
        <v>132.1</v>
      </c>
      <c r="GW17" s="117">
        <v>116.5</v>
      </c>
      <c r="GX17" s="26">
        <v>132</v>
      </c>
      <c r="GY17" s="117">
        <v>103.6</v>
      </c>
      <c r="GZ17" s="123">
        <v>1460.2</v>
      </c>
      <c r="HA17" s="125">
        <v>118.1</v>
      </c>
      <c r="HB17" s="140">
        <v>99</v>
      </c>
      <c r="HC17" s="116">
        <f>IF(104471.36536="","-",99029.77014/104471.36536*100)</f>
        <v>94.79130458260147</v>
      </c>
      <c r="HD17" s="140">
        <v>119.5</v>
      </c>
      <c r="HE17" s="116">
        <f>IF(111587.69536="","-",119419.5188/111587.69536*100)</f>
        <v>107.01853677928671</v>
      </c>
      <c r="HF17" s="140">
        <v>126.5</v>
      </c>
      <c r="HG17" s="116">
        <f>IF(133950.926="","-",126481.21767/133950.926*100)</f>
        <v>94.423548568824373</v>
      </c>
      <c r="HH17" s="140">
        <v>120.4</v>
      </c>
      <c r="HI17" s="116">
        <f>IF(108548.3249="","-",120378.2093/108548.3249*100)</f>
        <v>110.89826527576383</v>
      </c>
      <c r="HJ17" s="140">
        <v>132.9</v>
      </c>
      <c r="HK17" s="116">
        <f>IF(134280.80436="","-",132928.95282/134280.80436*100)</f>
        <v>98.993265235159171</v>
      </c>
      <c r="HL17" s="140">
        <v>110.7</v>
      </c>
      <c r="HM17" s="116">
        <f>IF(108925.45615="","-",110705.07166/108925.45615*100)</f>
        <v>101.63379211150543</v>
      </c>
      <c r="HN17" s="140">
        <v>127.5</v>
      </c>
      <c r="HO17" s="116">
        <f>IF(115172.92029="","-",127482.19019/115172.92029*100)</f>
        <v>110.68764243279222</v>
      </c>
      <c r="HP17" s="140">
        <v>130.19999999999999</v>
      </c>
      <c r="HQ17" s="116">
        <f>IF(123271.89881="","-",130245.31332/123271.89881*100)</f>
        <v>105.65693769408726</v>
      </c>
      <c r="HR17" s="140">
        <v>140.19999999999999</v>
      </c>
      <c r="HS17" s="116">
        <f>IF(116293.15123="","-",140157.30578/116293.15123*100)</f>
        <v>120.52068784584091</v>
      </c>
      <c r="HT17" s="140">
        <v>148</v>
      </c>
      <c r="HU17" s="116">
        <f>IF(139498.25521="","-",147988.00509/139498.25521*100)</f>
        <v>106.0859183272361</v>
      </c>
      <c r="HV17" s="140">
        <v>128.80000000000001</v>
      </c>
      <c r="HW17" s="116">
        <f>IF(132119.39644="","-",128853.05027/132119.39644*100)</f>
        <v>97.527731538280705</v>
      </c>
      <c r="HX17" s="140">
        <v>151.6</v>
      </c>
      <c r="HY17" s="116">
        <f>IF(132057.75415="","-",151610.45129/132057.75415*100)</f>
        <v>114.8061711830952</v>
      </c>
      <c r="HZ17" s="141">
        <v>1535.3</v>
      </c>
      <c r="IA17" s="142">
        <f>IF(1460177.94826="","-",1535279.05633/1460177.94826*100)</f>
        <v>105.14328463592352</v>
      </c>
      <c r="IB17" s="140">
        <v>107</v>
      </c>
      <c r="IC17" s="116">
        <f>IF(101916.18586="","-",107013.91711/101916.18586*100)</f>
        <v>105.00188582116155</v>
      </c>
      <c r="ID17" s="140">
        <v>135.69999999999999</v>
      </c>
      <c r="IE17" s="116">
        <f>IF(125461.49194="","-",135687.85294/125461.49194*100)</f>
        <v>108.15099584890207</v>
      </c>
      <c r="IF17" s="140">
        <v>133.80000000000001</v>
      </c>
      <c r="IG17" s="116">
        <f>IF(132062.08835="","-",133805.79333/132062.08835*100)</f>
        <v>101.32036756482201</v>
      </c>
      <c r="IH17" s="140">
        <v>84.8</v>
      </c>
      <c r="II17" s="117">
        <f>IF(125420.91422="","-",84769.45308/125420.91422*100)</f>
        <v>67.587972554008388</v>
      </c>
      <c r="IJ17" s="26">
        <v>102.4</v>
      </c>
      <c r="IK17" s="117">
        <f>IF(136908.57488="","-",102436.45141/136908.57488*100)</f>
        <v>74.821063253185756</v>
      </c>
      <c r="IL17" s="117">
        <v>125.9</v>
      </c>
      <c r="IM17" s="117">
        <f>IF(114718.33181="","-",125879.03804/114718.33181*100)</f>
        <v>109.72879055501321</v>
      </c>
      <c r="IN17" s="26">
        <v>140.1</v>
      </c>
      <c r="IO17" s="117">
        <f>IF(133282.38365="","-",140104.93849/133282.38365*100)</f>
        <v>105.11887216686944</v>
      </c>
      <c r="IP17" s="26">
        <v>129.9</v>
      </c>
      <c r="IQ17" s="117">
        <f>IF(134846.15976="","-",129891.30078/134846.15976*100)</f>
        <v>96.325546838843096</v>
      </c>
      <c r="IR17" s="116">
        <v>164.2</v>
      </c>
      <c r="IS17" s="116">
        <f>IF(145194.90534="","-",164208.98675/145194.90534*100)</f>
        <v>113.09555687610052</v>
      </c>
      <c r="IT17" s="116">
        <v>153.1</v>
      </c>
      <c r="IU17" s="116">
        <f>IF(151873.20243="","-",153090.77818/151873.20243*100)</f>
        <v>100.80170545594518</v>
      </c>
      <c r="IV17" s="116">
        <v>165.8</v>
      </c>
      <c r="IW17" s="116">
        <f>IF(134427.95312="","-",165814.29542/134427.95312*100)</f>
        <v>123.34807722020606</v>
      </c>
      <c r="IX17" s="116">
        <v>184.8</v>
      </c>
      <c r="IY17" s="117">
        <f>IF(157900.74626="","-",184818.13452/157900.74626*100)</f>
        <v>117.04703042737854</v>
      </c>
      <c r="IZ17" s="142">
        <v>1627.5</v>
      </c>
      <c r="JA17" s="142">
        <f>IF(1594012.93762="","-",1627520.94005/1594012.93762*100)</f>
        <v>102.10211608947355</v>
      </c>
      <c r="JB17" s="201">
        <v>127.4</v>
      </c>
      <c r="JC17" s="116">
        <f>IF(107013.91711="","-",127355.17447/107013.91711*100)</f>
        <v>119.00804858782166</v>
      </c>
      <c r="JD17" s="201">
        <v>147.69999999999999</v>
      </c>
      <c r="JE17" s="116">
        <f>IF(135687.85294="","-",147734.08224/135687.85294*100)</f>
        <v>108.87789808666713</v>
      </c>
      <c r="JF17" s="201">
        <v>183.9</v>
      </c>
      <c r="JG17" s="117">
        <f>IF(133805.79333="","-",183863.40361/133805.79333*100)</f>
        <v>137.41064496104806</v>
      </c>
      <c r="JH17" s="201">
        <v>158.69999999999999</v>
      </c>
      <c r="JI17" s="116">
        <f>IF(84769.45308="","-",158715.43675/84769.45308*100)</f>
        <v>187.23187537875759</v>
      </c>
      <c r="JJ17" s="203">
        <v>179.6</v>
      </c>
      <c r="JK17" s="116">
        <f>IF(102436.45141="","-",179597.65999/102436.45141*100)</f>
        <v>175.32592892266806</v>
      </c>
      <c r="JL17" s="216">
        <v>177.8</v>
      </c>
      <c r="JM17" s="116">
        <f>IF(125879.03804="","-",177824.37263/125879.03804*100)</f>
        <v>141.26607209493733</v>
      </c>
      <c r="JN17" s="210">
        <v>159.69999999999999</v>
      </c>
      <c r="JO17" s="117">
        <f>IF(140104.93849="","-",159694.78507/140104.93849*100)</f>
        <v>113.98226700010167</v>
      </c>
      <c r="JP17" s="215">
        <v>167.4</v>
      </c>
      <c r="JQ17" s="116">
        <f>IF(129891.30078="","-",167435.30702/129891.30078*100)</f>
        <v>128.90417296196702</v>
      </c>
      <c r="JR17" s="216">
        <v>215.3</v>
      </c>
      <c r="JS17" s="116">
        <f>IF(164208.98675="","-",215280.04418/164208.98675*100)</f>
        <v>131.101256052297</v>
      </c>
      <c r="JT17" s="223">
        <v>178.7</v>
      </c>
      <c r="JU17" s="116">
        <f>IF(153090.77818="","-",178674.52411/153090.77818*100)</f>
        <v>116.71148728496195</v>
      </c>
      <c r="JV17" s="219">
        <v>199.7</v>
      </c>
      <c r="JW17" s="250">
        <f>IF(165814.29542="","-",199689.49092/165814.29542*100)</f>
        <v>120.42959891618253</v>
      </c>
      <c r="JX17" s="223">
        <v>226.3</v>
      </c>
      <c r="JY17" s="116">
        <f>IF(184818.13452="","-",226304.30738/184818.13452*100)</f>
        <v>122.44702499987122</v>
      </c>
      <c r="JZ17" s="156">
        <v>2122.1999999999998</v>
      </c>
      <c r="KA17" s="269">
        <f>IF(1627520.94005="","-",2122168.58837/1627520.94005*100)</f>
        <v>130.39270562655884</v>
      </c>
      <c r="KB17" s="155">
        <v>156.1</v>
      </c>
      <c r="KC17" s="250">
        <f>IF(127355.17447="","-",156103.06092/127355.17447*100)</f>
        <v>122.57300229035602</v>
      </c>
      <c r="KD17" s="155">
        <v>160.30000000000001</v>
      </c>
      <c r="KE17" s="250">
        <f>IF(147734.08224="","-",160271.67189/147734.08224*100)</f>
        <v>108.48659257220834</v>
      </c>
      <c r="KF17" s="155">
        <v>188.4</v>
      </c>
      <c r="KG17" s="250">
        <f>IF(183863.40361="","-",188369.64687/183863.40361*100)</f>
        <v>102.45086470255839</v>
      </c>
      <c r="KH17" s="155">
        <v>226.1</v>
      </c>
      <c r="KI17" s="250">
        <f>IF(158715.43675="","-",226086.02304/158715.43675*100)</f>
        <v>142.44740629490155</v>
      </c>
      <c r="KJ17" s="155">
        <v>238.1</v>
      </c>
      <c r="KK17" s="250">
        <f>IF(179597.65999="","-",238059.83752/179597.65999*100)</f>
        <v>132.55174790877297</v>
      </c>
      <c r="KL17" s="155">
        <v>229.5</v>
      </c>
      <c r="KM17" s="157">
        <f>IF(177824.37263="","-",229435.71993/177824.37263*100)</f>
        <v>129.0237758394278</v>
      </c>
      <c r="KN17" s="155">
        <v>228.8</v>
      </c>
      <c r="KO17" s="250">
        <f>IF(159694.78507="","-",228837.25937/159694.78507*100)</f>
        <v>143.29663881615943</v>
      </c>
      <c r="KP17" s="155">
        <v>252.7</v>
      </c>
      <c r="KQ17" s="250">
        <f>IF(167435.30702="","-",252671.53572/167435.30702*100)</f>
        <v>150.90696234684756</v>
      </c>
      <c r="KR17" s="35" t="s">
        <v>169</v>
      </c>
    </row>
    <row r="18" spans="1:304" ht="15.75" customHeight="1">
      <c r="A18" s="35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38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38"/>
      <c r="AP18" s="68"/>
      <c r="AQ18" s="41"/>
      <c r="AR18" s="69"/>
      <c r="AS18" s="69"/>
      <c r="AT18" s="69"/>
      <c r="AU18" s="69"/>
      <c r="AV18" s="69"/>
      <c r="AW18" s="69"/>
      <c r="AX18" s="69"/>
      <c r="AY18" s="69"/>
      <c r="AZ18" s="70"/>
      <c r="BA18" s="70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8"/>
      <c r="BU18" s="43"/>
      <c r="BV18" s="43"/>
      <c r="BW18" s="43"/>
      <c r="BX18" s="43"/>
      <c r="BY18" s="43"/>
      <c r="BZ18" s="44"/>
      <c r="CA18" s="44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4"/>
      <c r="DA18" s="44"/>
      <c r="DB18" s="45"/>
      <c r="DC18" s="56"/>
      <c r="DD18" s="57"/>
      <c r="DE18" s="57"/>
      <c r="DF18" s="56"/>
      <c r="DG18" s="58"/>
      <c r="DH18" s="58"/>
      <c r="DI18" s="58"/>
      <c r="DJ18" s="57"/>
      <c r="DK18" s="58"/>
      <c r="DL18" s="75"/>
      <c r="DM18" s="75"/>
      <c r="DN18" s="75"/>
      <c r="DO18" s="75"/>
      <c r="DP18" s="75"/>
      <c r="DQ18" s="58"/>
      <c r="DR18" s="57"/>
      <c r="DS18" s="58"/>
      <c r="DT18" s="60"/>
      <c r="DU18" s="58"/>
      <c r="DV18" s="61"/>
      <c r="DW18" s="58"/>
      <c r="DX18" s="57"/>
      <c r="DY18" s="57"/>
      <c r="DZ18" s="62"/>
      <c r="EA18" s="62"/>
      <c r="EB18" s="83"/>
      <c r="EC18" s="58"/>
      <c r="ED18" s="57"/>
      <c r="EE18" s="57"/>
      <c r="EF18" s="61"/>
      <c r="EG18" s="64"/>
      <c r="EH18" s="64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6"/>
      <c r="FA18" s="66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6"/>
      <c r="GA18" s="66"/>
      <c r="GB18" s="67"/>
      <c r="GC18" s="67"/>
      <c r="GD18" s="67"/>
      <c r="GE18" s="67"/>
      <c r="GF18" s="67"/>
      <c r="GG18" s="67"/>
      <c r="GH18" s="67"/>
      <c r="GI18" s="67"/>
      <c r="GJ18" s="26"/>
      <c r="GK18" s="27"/>
      <c r="GL18" s="26"/>
      <c r="GM18" s="27"/>
      <c r="GN18" s="26"/>
      <c r="GO18" s="27"/>
      <c r="GP18" s="116"/>
      <c r="GQ18" s="119"/>
      <c r="GR18" s="27"/>
      <c r="GS18" s="27"/>
      <c r="GT18" s="27"/>
      <c r="GU18" s="27"/>
      <c r="GV18" s="27"/>
      <c r="GW18" s="27"/>
      <c r="GX18" s="27"/>
      <c r="GY18" s="27"/>
      <c r="GZ18" s="131"/>
      <c r="HA18" s="131"/>
      <c r="HB18" s="136"/>
      <c r="HC18" s="136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1"/>
      <c r="IA18" s="148"/>
      <c r="IB18" s="138"/>
      <c r="IC18" s="26"/>
      <c r="ID18" s="138"/>
      <c r="IE18" s="26"/>
      <c r="IF18" s="138"/>
      <c r="IG18" s="26"/>
      <c r="IH18" s="138"/>
      <c r="II18" s="26"/>
      <c r="IJ18" s="140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123"/>
      <c r="JA18" s="123"/>
      <c r="JB18" s="198"/>
      <c r="JC18" s="26"/>
      <c r="JD18" s="198"/>
      <c r="JE18" s="26"/>
      <c r="JF18" s="198"/>
      <c r="JG18" s="26"/>
      <c r="JH18" s="198"/>
      <c r="JI18" s="26"/>
      <c r="JJ18" s="204"/>
      <c r="JK18" s="26"/>
      <c r="JL18" s="218"/>
      <c r="JM18" s="26"/>
      <c r="JN18" s="204"/>
      <c r="JO18" s="26"/>
      <c r="JP18" s="233"/>
      <c r="JQ18" s="26"/>
      <c r="JR18" s="234"/>
      <c r="JS18" s="26"/>
      <c r="JT18" s="223"/>
      <c r="JU18" s="26"/>
      <c r="JV18" s="219"/>
      <c r="JW18" s="155"/>
      <c r="JX18" s="223"/>
      <c r="JY18" s="26"/>
      <c r="JZ18" s="156"/>
      <c r="KA18" s="159"/>
      <c r="KB18" s="155"/>
      <c r="KC18" s="155"/>
      <c r="KD18" s="155"/>
      <c r="KE18" s="155"/>
      <c r="KF18" s="155"/>
      <c r="KG18" s="155"/>
      <c r="KH18" s="155"/>
      <c r="KI18" s="155"/>
      <c r="KJ18" s="155"/>
      <c r="KK18" s="155"/>
      <c r="KL18" s="155"/>
      <c r="KM18" s="58"/>
      <c r="KN18" s="276"/>
      <c r="KO18" s="274"/>
      <c r="KP18" s="276"/>
      <c r="KQ18" s="274"/>
      <c r="KR18" s="35"/>
    </row>
    <row r="19" spans="1:304" ht="16.5" customHeight="1">
      <c r="A19" s="34" t="s">
        <v>122</v>
      </c>
      <c r="B19" s="47">
        <v>-150.4</v>
      </c>
      <c r="C19" s="38">
        <v>128.19999999999999</v>
      </c>
      <c r="D19" s="47">
        <v>-194.9</v>
      </c>
      <c r="E19" s="38">
        <v>135.1</v>
      </c>
      <c r="F19" s="47">
        <v>-279.3</v>
      </c>
      <c r="G19" s="38">
        <v>140.19999999999999</v>
      </c>
      <c r="H19" s="47">
        <v>-245.3</v>
      </c>
      <c r="I19" s="38">
        <v>126.4</v>
      </c>
      <c r="J19" s="47">
        <v>-264.10000000000002</v>
      </c>
      <c r="K19" s="38">
        <v>138.5</v>
      </c>
      <c r="L19" s="47">
        <v>-244.8</v>
      </c>
      <c r="M19" s="38">
        <v>109.5</v>
      </c>
      <c r="N19" s="38">
        <v>-233.9</v>
      </c>
      <c r="O19" s="38">
        <v>119</v>
      </c>
      <c r="P19" s="47">
        <v>-234.8</v>
      </c>
      <c r="Q19" s="38">
        <v>129.5</v>
      </c>
      <c r="R19" s="47">
        <v>-301.3</v>
      </c>
      <c r="S19" s="38">
        <v>149.30000000000001</v>
      </c>
      <c r="T19" s="47">
        <v>-256.60000000000002</v>
      </c>
      <c r="U19" s="38">
        <v>128.69999999999999</v>
      </c>
      <c r="V19" s="47">
        <v>-252.2</v>
      </c>
      <c r="W19" s="38">
        <v>123.3</v>
      </c>
      <c r="X19" s="38">
        <v>-316.89999999999998</v>
      </c>
      <c r="Y19" s="38">
        <v>121.4</v>
      </c>
      <c r="Z19" s="55">
        <v>-2974.5</v>
      </c>
      <c r="AA19" s="40">
        <v>128.6</v>
      </c>
      <c r="AB19" s="46">
        <v>-191.5</v>
      </c>
      <c r="AC19" s="38">
        <v>127.3</v>
      </c>
      <c r="AD19" s="47">
        <v>-231.1</v>
      </c>
      <c r="AE19" s="38">
        <v>118.6</v>
      </c>
      <c r="AF19" s="47">
        <v>-276.89999999999998</v>
      </c>
      <c r="AG19" s="38">
        <v>99.1</v>
      </c>
      <c r="AH19" s="47">
        <v>-245</v>
      </c>
      <c r="AI19" s="38">
        <v>99.9</v>
      </c>
      <c r="AJ19" s="47">
        <v>-251.6</v>
      </c>
      <c r="AK19" s="38">
        <v>95.3</v>
      </c>
      <c r="AL19" s="38">
        <v>-222.9</v>
      </c>
      <c r="AM19" s="38">
        <v>91.1</v>
      </c>
      <c r="AN19" s="47">
        <v>-253.6</v>
      </c>
      <c r="AO19" s="38">
        <v>108.5</v>
      </c>
      <c r="AP19" s="46">
        <v>-250</v>
      </c>
      <c r="AQ19" s="41">
        <v>106.5</v>
      </c>
      <c r="AR19" s="46">
        <v>-262.60000000000002</v>
      </c>
      <c r="AS19" s="38">
        <v>87.1</v>
      </c>
      <c r="AT19" s="46">
        <v>-286.7</v>
      </c>
      <c r="AU19" s="38">
        <v>111.7</v>
      </c>
      <c r="AV19" s="47">
        <v>-262</v>
      </c>
      <c r="AW19" s="38">
        <v>103.9</v>
      </c>
      <c r="AX19" s="46">
        <v>-317.10000000000002</v>
      </c>
      <c r="AY19" s="38">
        <v>100.1</v>
      </c>
      <c r="AZ19" s="55">
        <v>-3051</v>
      </c>
      <c r="BA19" s="40">
        <v>102.6</v>
      </c>
      <c r="BB19" s="47">
        <v>-182.8</v>
      </c>
      <c r="BC19" s="38">
        <v>95.5</v>
      </c>
      <c r="BD19" s="47">
        <v>-205.7</v>
      </c>
      <c r="BE19" s="47">
        <v>89</v>
      </c>
      <c r="BF19" s="47">
        <v>-264.5</v>
      </c>
      <c r="BG19" s="38">
        <v>95.5</v>
      </c>
      <c r="BH19" s="47">
        <v>-293.10000000000002</v>
      </c>
      <c r="BI19" s="47">
        <v>119.7</v>
      </c>
      <c r="BJ19" s="47">
        <v>-241.8</v>
      </c>
      <c r="BK19" s="47">
        <v>96.1</v>
      </c>
      <c r="BL19" s="51">
        <v>-269.7</v>
      </c>
      <c r="BM19" s="51">
        <v>121</v>
      </c>
      <c r="BN19" s="47">
        <v>-271.2</v>
      </c>
      <c r="BO19" s="51">
        <v>106.9</v>
      </c>
      <c r="BP19" s="51">
        <v>-241.5</v>
      </c>
      <c r="BQ19" s="51">
        <v>96.6</v>
      </c>
      <c r="BR19" s="47">
        <v>-258.7</v>
      </c>
      <c r="BS19" s="51">
        <v>98.5</v>
      </c>
      <c r="BT19" s="84">
        <v>-252.8</v>
      </c>
      <c r="BU19" s="43">
        <v>88.2</v>
      </c>
      <c r="BV19" s="85">
        <v>-232.1</v>
      </c>
      <c r="BW19" s="43">
        <v>88.6</v>
      </c>
      <c r="BX19" s="43">
        <v>-350.2</v>
      </c>
      <c r="BY19" s="43">
        <v>110.4</v>
      </c>
      <c r="BZ19" s="44">
        <v>-3064.1</v>
      </c>
      <c r="CA19" s="44">
        <v>100.4</v>
      </c>
      <c r="CB19" s="45">
        <v>-148.80000000000001</v>
      </c>
      <c r="CC19" s="45">
        <v>81.400000000000006</v>
      </c>
      <c r="CD19" s="45">
        <v>-227.5</v>
      </c>
      <c r="CE19" s="45">
        <v>110.6</v>
      </c>
      <c r="CF19" s="45">
        <v>-268.89999999999998</v>
      </c>
      <c r="CG19" s="45">
        <v>101.7</v>
      </c>
      <c r="CH19" s="86">
        <v>-248.7</v>
      </c>
      <c r="CI19" s="45">
        <v>84.8</v>
      </c>
      <c r="CJ19" s="86">
        <v>-231.8</v>
      </c>
      <c r="CK19" s="45">
        <v>95.9</v>
      </c>
      <c r="CL19" s="85">
        <v>-249.1</v>
      </c>
      <c r="CM19" s="45">
        <v>92.3</v>
      </c>
      <c r="CN19" s="45">
        <v>-242.7</v>
      </c>
      <c r="CO19" s="45">
        <v>89.5</v>
      </c>
      <c r="CP19" s="86">
        <v>-236.8</v>
      </c>
      <c r="CQ19" s="45">
        <v>98</v>
      </c>
      <c r="CR19" s="85">
        <v>-274.10000000000002</v>
      </c>
      <c r="CS19" s="45">
        <v>105.9</v>
      </c>
      <c r="CT19" s="86">
        <v>-269.3</v>
      </c>
      <c r="CU19" s="45">
        <v>106.5</v>
      </c>
      <c r="CV19" s="85">
        <v>-256</v>
      </c>
      <c r="CW19" s="45">
        <v>110.3</v>
      </c>
      <c r="CX19" s="45">
        <v>-323.8</v>
      </c>
      <c r="CY19" s="45">
        <v>92.5</v>
      </c>
      <c r="CZ19" s="44">
        <v>-2977.5</v>
      </c>
      <c r="DA19" s="44">
        <v>97.2</v>
      </c>
      <c r="DB19" s="45">
        <v>-121.6</v>
      </c>
      <c r="DC19" s="46">
        <v>81.8</v>
      </c>
      <c r="DD19" s="46">
        <v>-138.80000000000001</v>
      </c>
      <c r="DE19" s="47">
        <v>61</v>
      </c>
      <c r="DF19" s="46">
        <v>-227.9</v>
      </c>
      <c r="DG19" s="47">
        <v>84.7</v>
      </c>
      <c r="DH19" s="47">
        <v>-178.2</v>
      </c>
      <c r="DI19" s="47">
        <v>71.7</v>
      </c>
      <c r="DJ19" s="46">
        <v>-155.1</v>
      </c>
      <c r="DK19" s="47">
        <v>66.900000000000006</v>
      </c>
      <c r="DL19" s="46">
        <v>-171.1</v>
      </c>
      <c r="DM19" s="59">
        <v>68.7</v>
      </c>
      <c r="DN19" s="47">
        <v>-176.1</v>
      </c>
      <c r="DO19" s="59">
        <v>72.599999999999994</v>
      </c>
      <c r="DP19" s="59">
        <v>-171.8</v>
      </c>
      <c r="DQ19" s="47">
        <v>72.5</v>
      </c>
      <c r="DR19" s="46">
        <v>-174.3</v>
      </c>
      <c r="DS19" s="47">
        <v>63.6</v>
      </c>
      <c r="DT19" s="47">
        <v>-148.6</v>
      </c>
      <c r="DU19" s="47">
        <v>55.2</v>
      </c>
      <c r="DV19" s="46">
        <v>-167.4</v>
      </c>
      <c r="DW19" s="47">
        <v>65.3</v>
      </c>
      <c r="DX19" s="46">
        <v>-189.1</v>
      </c>
      <c r="DY19" s="46">
        <v>58.4</v>
      </c>
      <c r="DZ19" s="55">
        <v>-2020</v>
      </c>
      <c r="EA19" s="50">
        <v>67.8</v>
      </c>
      <c r="EB19" s="47">
        <v>-90.5</v>
      </c>
      <c r="EC19" s="47">
        <v>74.5</v>
      </c>
      <c r="ED19" s="46">
        <v>-148.5</v>
      </c>
      <c r="EE19" s="47">
        <v>107.1</v>
      </c>
      <c r="EF19" s="81">
        <v>-205.5</v>
      </c>
      <c r="EG19" s="47">
        <v>90.2</v>
      </c>
      <c r="EH19" s="46">
        <v>-176.4</v>
      </c>
      <c r="EI19" s="47">
        <v>99.1</v>
      </c>
      <c r="EJ19" s="47">
        <v>-174.7</v>
      </c>
      <c r="EK19" s="47">
        <v>112.8</v>
      </c>
      <c r="EL19" s="47">
        <v>-167.2</v>
      </c>
      <c r="EM19" s="47">
        <v>97.8</v>
      </c>
      <c r="EN19" s="46">
        <v>-148.5</v>
      </c>
      <c r="EO19" s="47">
        <v>84.3</v>
      </c>
      <c r="EP19" s="47">
        <v>-183.1</v>
      </c>
      <c r="EQ19" s="47">
        <v>106.6</v>
      </c>
      <c r="ER19" s="47">
        <v>-168</v>
      </c>
      <c r="ES19" s="47">
        <v>96.4</v>
      </c>
      <c r="ET19" s="47">
        <v>-179.4</v>
      </c>
      <c r="EU19" s="47">
        <v>120.8</v>
      </c>
      <c r="EV19" s="47">
        <v>-135.9</v>
      </c>
      <c r="EW19" s="47">
        <v>81.099999999999994</v>
      </c>
      <c r="EX19" s="47">
        <v>-197.9</v>
      </c>
      <c r="EY19" s="47">
        <v>104.4</v>
      </c>
      <c r="EZ19" s="53">
        <v>-1975.7</v>
      </c>
      <c r="FA19" s="53">
        <v>97.8</v>
      </c>
      <c r="FB19" s="51">
        <v>-127.3</v>
      </c>
      <c r="FC19" s="51">
        <v>140.5</v>
      </c>
      <c r="FD19" s="51">
        <v>-156.1</v>
      </c>
      <c r="FE19" s="51">
        <v>105.1</v>
      </c>
      <c r="FF19" s="51">
        <v>-219.1</v>
      </c>
      <c r="FG19" s="51">
        <v>106.6</v>
      </c>
      <c r="FH19" s="51">
        <v>-207.3</v>
      </c>
      <c r="FI19" s="51">
        <v>117.5</v>
      </c>
      <c r="FJ19" s="51">
        <v>-225.7</v>
      </c>
      <c r="FK19" s="51">
        <v>129.19999999999999</v>
      </c>
      <c r="FL19" s="51">
        <v>-217.7</v>
      </c>
      <c r="FM19" s="51">
        <v>130.19999999999999</v>
      </c>
      <c r="FN19" s="51">
        <v>-205.3</v>
      </c>
      <c r="FO19" s="51">
        <v>138.19999999999999</v>
      </c>
      <c r="FP19" s="51">
        <v>-221.8</v>
      </c>
      <c r="FQ19" s="51">
        <v>121.2</v>
      </c>
      <c r="FR19" s="51">
        <v>-206.9</v>
      </c>
      <c r="FS19" s="51">
        <v>123</v>
      </c>
      <c r="FT19" s="51">
        <v>-197.7</v>
      </c>
      <c r="FU19" s="51">
        <v>110.2</v>
      </c>
      <c r="FV19" s="51">
        <v>-183.2</v>
      </c>
      <c r="FW19" s="51">
        <v>134.80000000000001</v>
      </c>
      <c r="FX19" s="51">
        <v>-238.3</v>
      </c>
      <c r="FY19" s="51">
        <v>120.4</v>
      </c>
      <c r="FZ19" s="53">
        <v>-2406.3000000000002</v>
      </c>
      <c r="GA19" s="53">
        <v>121.8</v>
      </c>
      <c r="GB19" s="51">
        <v>-154</v>
      </c>
      <c r="GC19" s="51">
        <v>120.9</v>
      </c>
      <c r="GD19" s="51">
        <v>-212.1</v>
      </c>
      <c r="GE19" s="51">
        <v>135.9</v>
      </c>
      <c r="GF19" s="51">
        <v>-282</v>
      </c>
      <c r="GG19" s="51">
        <v>128.69999999999999</v>
      </c>
      <c r="GH19" s="51">
        <v>-244.9</v>
      </c>
      <c r="GI19" s="51">
        <v>118.1</v>
      </c>
      <c r="GJ19" s="24">
        <v>-282.60000000000002</v>
      </c>
      <c r="GK19" s="25">
        <v>125.2</v>
      </c>
      <c r="GL19" s="24">
        <v>-244.6</v>
      </c>
      <c r="GM19" s="25">
        <v>112.3</v>
      </c>
      <c r="GN19" s="24">
        <v>-269.2</v>
      </c>
      <c r="GO19" s="25">
        <v>131.19999999999999</v>
      </c>
      <c r="GP19" s="115">
        <v>-262.10000000000002</v>
      </c>
      <c r="GQ19" s="118">
        <v>118.1</v>
      </c>
      <c r="GR19" s="24">
        <v>-266.7</v>
      </c>
      <c r="GS19" s="25">
        <v>128.9</v>
      </c>
      <c r="GT19" s="24">
        <v>-281.60000000000002</v>
      </c>
      <c r="GU19" s="118">
        <v>142.5</v>
      </c>
      <c r="GV19" s="24">
        <v>-253.70000000000005</v>
      </c>
      <c r="GW19" s="115">
        <v>138.5</v>
      </c>
      <c r="GX19" s="24">
        <v>-300.49999999999994</v>
      </c>
      <c r="GY19" s="129">
        <v>126.1</v>
      </c>
      <c r="GZ19" s="121">
        <v>-3053.9000000000005</v>
      </c>
      <c r="HA19" s="124">
        <v>126.9</v>
      </c>
      <c r="HB19" s="147">
        <v>-138.30000000000001</v>
      </c>
      <c r="HC19" s="115">
        <f>IF(-153935.51998="","-",-138294.40446/-153935.51998*100)</f>
        <v>89.839177129468112</v>
      </c>
      <c r="HD19" s="147">
        <v>-217.9</v>
      </c>
      <c r="HE19" s="115">
        <f>IF(-212128.57411="","-",-217839.14637/-212128.57411*100)</f>
        <v>102.69203349146107</v>
      </c>
      <c r="HF19" s="147">
        <v>-276.60000000000002</v>
      </c>
      <c r="HG19" s="115">
        <f>IF(-282030.27164="","-",-276615.76805/-282030.27164*100)</f>
        <v>98.080169352561072</v>
      </c>
      <c r="HH19" s="147">
        <v>-300</v>
      </c>
      <c r="HI19" s="115">
        <f>IF(-244866.24849="","-",-300020.53151/-244866.24849*100)</f>
        <v>122.52424879301094</v>
      </c>
      <c r="HJ19" s="147">
        <v>-271.10000000000002</v>
      </c>
      <c r="HK19" s="115">
        <f>IF(-282571.64434="","-",-271072.48455/-282571.64434*100)</f>
        <v>95.930533009828892</v>
      </c>
      <c r="HL19" s="147">
        <v>-243.2</v>
      </c>
      <c r="HM19" s="115">
        <f>IF(-244559.18353="","-",-243226.5734/-244559.18353*100)</f>
        <v>99.455097080892671</v>
      </c>
      <c r="HN19" s="147">
        <v>-278.89999999999998</v>
      </c>
      <c r="HO19" s="115">
        <f>IF(-269208.49895="","-",-278939.48236/-269208.49895*100)</f>
        <v>103.61466426504143</v>
      </c>
      <c r="HP19" s="147">
        <v>-258.5</v>
      </c>
      <c r="HQ19" s="115">
        <f>IF(-262048.94488="","-",-258466.27102/-262048.94488*100)</f>
        <v>98.632822634855245</v>
      </c>
      <c r="HR19" s="147">
        <v>-262.89999999999998</v>
      </c>
      <c r="HS19" s="115">
        <f>IF(-266669.69026="","-",-262900.17877/-266669.69026*100)</f>
        <v>98.586449218760194</v>
      </c>
      <c r="HT19" s="147">
        <v>-257</v>
      </c>
      <c r="HU19" s="115">
        <f>IF(-281648.65729="","-",-256997.66025/-281648.65729*100)</f>
        <v>91.247607115478601</v>
      </c>
      <c r="HV19" s="147">
        <v>-237.5</v>
      </c>
      <c r="HW19" s="115">
        <f>IF(-253727.16236="","-",-237569.28028/-253727.16236*100)</f>
        <v>93.631788599332381</v>
      </c>
      <c r="HX19" s="147">
        <v>-321.39999999999998</v>
      </c>
      <c r="HY19" s="115">
        <f>IF(-300489.35387="","-",-321378.0936/-300489.35387*100)</f>
        <v>106.95157397790442</v>
      </c>
      <c r="HZ19" s="148">
        <v>-3063.3</v>
      </c>
      <c r="IA19" s="124">
        <f>IF(-3053883.7497="","-",-3063319.87462/-3053883.7497*100)</f>
        <v>100.30898769217809</v>
      </c>
      <c r="IB19" s="178">
        <v>-160.30000000000001</v>
      </c>
      <c r="IC19" s="115">
        <f>IF(-138294.40446="","-",-160359.49503/-138294.40446*100)</f>
        <v>115.95515787942242</v>
      </c>
      <c r="ID19" s="168">
        <v>-239.5</v>
      </c>
      <c r="IE19" s="115">
        <f>IF(-217839.14637="","-",-239460.62335/-217839.14637*100)</f>
        <v>109.92543229272296</v>
      </c>
      <c r="IF19" s="168">
        <v>-290.3</v>
      </c>
      <c r="IG19" s="115">
        <f>IF(-276615.76805="","-",-290266.09996/-276615.76805*100)</f>
        <v>104.93476275999301</v>
      </c>
      <c r="IH19" s="168">
        <v>-135.80000000000001</v>
      </c>
      <c r="II19" s="115">
        <f>IF(-300020.53151="","-",-135744.3538/-300020.53151*100)</f>
        <v>45.245021437966329</v>
      </c>
      <c r="IJ19" s="24">
        <v>-173.7</v>
      </c>
      <c r="IK19" s="115">
        <f>IF(-271072.48455="","-",-173649.31637/-271072.48455*100)</f>
        <v>64.060104314265047</v>
      </c>
      <c r="IL19" s="115">
        <v>-223.9</v>
      </c>
      <c r="IM19" s="115">
        <f>IF(-243226.5734="","-",-223960.39463/-243226.5734*100)</f>
        <v>92.078916994683937</v>
      </c>
      <c r="IN19" s="24">
        <v>-305.5</v>
      </c>
      <c r="IO19" s="115">
        <f>IF(-278939.48236="","-",-305508.63494/-278939.48236*100)</f>
        <v>109.52505982846479</v>
      </c>
      <c r="IP19" s="24">
        <v>-269.7</v>
      </c>
      <c r="IQ19" s="115">
        <f>IF(-258466.27102="","-",-269716.03876/-258466.27102*100)</f>
        <v>104.35250901233823</v>
      </c>
      <c r="IR19" s="115">
        <v>-296</v>
      </c>
      <c r="IS19" s="115">
        <f>IF(-262900.17877="","-",-296078.45123/-262900.17877*100)</f>
        <v>112.62010266224513</v>
      </c>
      <c r="IT19" s="115">
        <v>-244.2</v>
      </c>
      <c r="IU19" s="115">
        <f>IF(-256997.66025="","-",-244227.07907/-256997.66025*100)</f>
        <v>95.030857025088437</v>
      </c>
      <c r="IV19" s="115">
        <v>-260.89999999999998</v>
      </c>
      <c r="IW19" s="115">
        <f>IF(-237569.28028="","-",-260851.89354/-237569.28028*100)</f>
        <v>109.80034675887347</v>
      </c>
      <c r="IX19" s="115">
        <v>-349</v>
      </c>
      <c r="IY19" s="118">
        <f>IF(-321378.0936="","-",-349059.83748/-321378.0936*100)</f>
        <v>108.61345077068438</v>
      </c>
      <c r="IZ19" s="121">
        <v>-2948.9</v>
      </c>
      <c r="JA19" s="124">
        <f>IF(-3063319.87462="","-",-2948882.21816/-3063319.87462*100)</f>
        <v>96.264260307644307</v>
      </c>
      <c r="JB19" s="208">
        <v>-201</v>
      </c>
      <c r="JC19" s="115">
        <f>IF(-160359.49503="","-",-200931.59714/-160359.49503*100)</f>
        <v>125.30071705601829</v>
      </c>
      <c r="JD19" s="208">
        <v>-294.39999999999998</v>
      </c>
      <c r="JE19" s="115">
        <f>IF(-239460.62335="","-",-294403.57553/-239460.62335*100)</f>
        <v>122.94446218812951</v>
      </c>
      <c r="JF19" s="208">
        <v>-370.8</v>
      </c>
      <c r="JG19" s="115">
        <f>IF(-290266.09996="","-",-370768.45867/-290266.09996*100)</f>
        <v>127.73398571899838</v>
      </c>
      <c r="JH19" s="208">
        <v>-344</v>
      </c>
      <c r="JI19" s="115">
        <f>IF(-135744.3538="","-",-343970.01804/-135744.3538*100)</f>
        <v>253.39545138414442</v>
      </c>
      <c r="JJ19" s="208">
        <v>-361.7</v>
      </c>
      <c r="JK19" s="115">
        <f>IF(-173649.31637="","-",-361697.08421/-173649.31637*100)</f>
        <v>208.29168335988192</v>
      </c>
      <c r="JL19" s="208">
        <v>-362.8</v>
      </c>
      <c r="JM19" s="115">
        <f>IF(-223960.39463="","-",-362840.71341/-223960.39463*100)</f>
        <v>162.01110647685772</v>
      </c>
      <c r="JN19" s="208">
        <v>-321.3</v>
      </c>
      <c r="JO19" s="115">
        <f>IF(-305508.63494="","-",-321272.56594/-305508.63494*100)</f>
        <v>105.15989703632957</v>
      </c>
      <c r="JP19" s="208">
        <v>-338.6</v>
      </c>
      <c r="JQ19" s="115">
        <f>IF(-269716.03876="","-",-338636.09871/-269716.03876*100)</f>
        <v>125.55282224477824</v>
      </c>
      <c r="JR19" s="208">
        <v>-376.3</v>
      </c>
      <c r="JS19" s="115">
        <f>IF(-296078.45123="","-",-376302.9413/-296078.45123*100)</f>
        <v>127.0956868818798</v>
      </c>
      <c r="JT19" s="220">
        <v>-294.60000000000002</v>
      </c>
      <c r="JU19" s="115">
        <f>IF(-244227.07907="","-",-294577.8619/-244227.07907*100)</f>
        <v>120.61638005979202</v>
      </c>
      <c r="JV19" s="260">
        <v>-337.6</v>
      </c>
      <c r="JW19" s="262">
        <f>IF(-260851.89354="","-",-337629.62685/-260851.89354*100)</f>
        <v>129.43345830005509</v>
      </c>
      <c r="JX19" s="220">
        <f>(JX7-JX13)</f>
        <v>-429.20000000000005</v>
      </c>
      <c r="JY19" s="118">
        <f>IF(-349059.83748="","-",-429226.10474/-349059.83748*100)</f>
        <v>122.96633947885604</v>
      </c>
      <c r="JZ19" s="261">
        <v>-4032.3</v>
      </c>
      <c r="KA19" s="270">
        <f>IF(-2948882.21816="","-",-4032256.64644/-2948882.21816*100)</f>
        <v>136.73847743420512</v>
      </c>
      <c r="KB19" s="246">
        <v>-291.3</v>
      </c>
      <c r="KC19" s="262">
        <f>IF(-200931.59714="","-",-291313.09151/-200931.59714*100)</f>
        <v>144.98122528087322</v>
      </c>
      <c r="KD19" s="246">
        <v>-332.6</v>
      </c>
      <c r="KE19" s="262">
        <f>IF(-294403.57553="","-",-332628.97189/-294403.57553*100)</f>
        <v>112.98401226655781</v>
      </c>
      <c r="KF19" s="246">
        <v>-352.49999999999994</v>
      </c>
      <c r="KG19" s="262">
        <f>IF(-370768.45867="","-",-352461.70308/-370768.45867*100)</f>
        <v>95.062483023591327</v>
      </c>
      <c r="KH19" s="246">
        <v>-374.2</v>
      </c>
      <c r="KI19" s="262">
        <f>IF(-343970.01804="","-",-374183.95982/-343970.01804*100)</f>
        <v>108.78388818658213</v>
      </c>
      <c r="KJ19" s="246">
        <f>(KJ7-KJ13)</f>
        <v>-356.70000000000005</v>
      </c>
      <c r="KK19" s="262">
        <f>IF(-361697.08421="","-",-356670.06452/-361697.08421*100)</f>
        <v>98.610157529751802</v>
      </c>
      <c r="KL19" s="271">
        <f>(KL7-KL13)</f>
        <v>-351.9</v>
      </c>
      <c r="KM19" s="263">
        <f>IF(-362840.71341="","-",-351838.02414/-362840.71341*100)</f>
        <v>96.967625499741729</v>
      </c>
      <c r="KN19" s="278">
        <f>(KN7-KN13)</f>
        <v>-422.90000000000003</v>
      </c>
      <c r="KO19" s="262">
        <f>IF(-321272.56594="","-",-422943.01023/-321272.56594*100)</f>
        <v>131.6461643690385</v>
      </c>
      <c r="KP19" s="278">
        <f>(KP7-KP13)</f>
        <v>-450.6</v>
      </c>
      <c r="KQ19" s="262">
        <f>IF(-338636.09871="","-",-450576.56076/-338636.09871*100)</f>
        <v>133.05626968785251</v>
      </c>
      <c r="KR19" s="34" t="s">
        <v>122</v>
      </c>
    </row>
    <row r="20" spans="1:304" ht="15.75" customHeight="1">
      <c r="A20" s="34" t="s">
        <v>120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55"/>
      <c r="AA20" s="55"/>
      <c r="AB20" s="46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38"/>
      <c r="AP20" s="57"/>
      <c r="AQ20" s="41"/>
      <c r="AR20" s="46"/>
      <c r="AS20" s="47"/>
      <c r="AT20" s="46"/>
      <c r="AU20" s="47"/>
      <c r="AV20" s="47"/>
      <c r="AW20" s="47"/>
      <c r="AX20" s="46"/>
      <c r="AY20" s="47"/>
      <c r="AZ20" s="50"/>
      <c r="BA20" s="55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55"/>
      <c r="CA20" s="5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47"/>
      <c r="CN20" s="47"/>
      <c r="CO20" s="45"/>
      <c r="CP20" s="64"/>
      <c r="CQ20" s="45"/>
      <c r="CR20" s="65"/>
      <c r="CS20" s="45"/>
      <c r="CT20" s="64"/>
      <c r="CU20" s="45"/>
      <c r="CV20" s="86"/>
      <c r="CW20" s="45"/>
      <c r="CX20" s="45"/>
      <c r="CY20" s="45"/>
      <c r="CZ20" s="44"/>
      <c r="DA20" s="44"/>
      <c r="DB20" s="45"/>
      <c r="DC20" s="56"/>
      <c r="DD20" s="64"/>
      <c r="DE20" s="57"/>
      <c r="DF20" s="64"/>
      <c r="DG20" s="58"/>
      <c r="DH20" s="58"/>
      <c r="DI20" s="58"/>
      <c r="DJ20" s="57"/>
      <c r="DK20" s="58"/>
      <c r="DL20" s="64"/>
      <c r="DM20" s="59"/>
      <c r="DN20" s="65"/>
      <c r="DO20" s="59"/>
      <c r="DP20" s="59"/>
      <c r="DQ20" s="58"/>
      <c r="DR20" s="64"/>
      <c r="DS20" s="58"/>
      <c r="DT20" s="58"/>
      <c r="DU20" s="58"/>
      <c r="DV20" s="61"/>
      <c r="DW20" s="58"/>
      <c r="DX20" s="57"/>
      <c r="DY20" s="57"/>
      <c r="DZ20" s="62"/>
      <c r="EA20" s="62"/>
      <c r="EB20" s="65"/>
      <c r="EC20" s="58"/>
      <c r="ED20" s="64"/>
      <c r="EE20" s="57"/>
      <c r="EF20" s="65"/>
      <c r="EG20" s="64"/>
      <c r="EH20" s="64"/>
      <c r="EI20" s="65"/>
      <c r="EJ20" s="65"/>
      <c r="EK20" s="65"/>
      <c r="EL20" s="65"/>
      <c r="EM20" s="65"/>
      <c r="EN20" s="46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6"/>
      <c r="FA20" s="66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6"/>
      <c r="GA20" s="66"/>
      <c r="GB20" s="67"/>
      <c r="GC20" s="67"/>
      <c r="GD20" s="67"/>
      <c r="GE20" s="67"/>
      <c r="GF20" s="67"/>
      <c r="GG20" s="67"/>
      <c r="GH20" s="67"/>
      <c r="GI20" s="67"/>
      <c r="GJ20" s="26"/>
      <c r="GK20" s="25"/>
      <c r="GL20" s="26"/>
      <c r="GM20" s="25"/>
      <c r="GN20" s="26"/>
      <c r="GO20" s="25"/>
      <c r="GP20" s="116"/>
      <c r="GQ20" s="118"/>
      <c r="GR20" s="118"/>
      <c r="GS20" s="118"/>
      <c r="GT20" s="118"/>
      <c r="GU20" s="118"/>
      <c r="GV20" s="26"/>
      <c r="GW20" s="24"/>
      <c r="GX20" s="24"/>
      <c r="GY20" s="25"/>
      <c r="GZ20" s="123"/>
      <c r="HA20" s="121"/>
      <c r="HB20" s="136"/>
      <c r="HC20" s="139"/>
      <c r="HD20" s="136"/>
      <c r="HE20" s="139"/>
      <c r="HF20" s="136"/>
      <c r="HG20" s="139"/>
      <c r="HH20" s="136"/>
      <c r="HI20" s="139"/>
      <c r="HJ20" s="136"/>
      <c r="HK20" s="139"/>
      <c r="HL20" s="136"/>
      <c r="HM20" s="139"/>
      <c r="HN20" s="136"/>
      <c r="HO20" s="139"/>
      <c r="HP20" s="136"/>
      <c r="HQ20" s="139"/>
      <c r="HR20" s="136"/>
      <c r="HS20" s="139"/>
      <c r="HT20" s="136"/>
      <c r="HU20" s="139"/>
      <c r="HV20" s="136"/>
      <c r="HW20" s="139"/>
      <c r="HX20" s="136"/>
      <c r="HY20" s="139"/>
      <c r="HZ20" s="137"/>
      <c r="IA20" s="152"/>
      <c r="IB20" s="179"/>
      <c r="IC20" s="26"/>
      <c r="ID20" s="173"/>
      <c r="IE20" s="26"/>
      <c r="IF20" s="173"/>
      <c r="IG20" s="26"/>
      <c r="IH20" s="169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123"/>
      <c r="JA20" s="123"/>
      <c r="JB20" s="230"/>
      <c r="JC20" s="26"/>
      <c r="JD20" s="217"/>
      <c r="JE20" s="26"/>
      <c r="JF20" s="207"/>
      <c r="JG20" s="26"/>
      <c r="JH20" s="207"/>
      <c r="JI20" s="26"/>
      <c r="JJ20" s="207"/>
      <c r="JK20" s="26"/>
      <c r="JL20" s="207"/>
      <c r="JM20" s="26"/>
      <c r="JN20" s="207"/>
      <c r="JO20" s="26"/>
      <c r="JP20" s="207"/>
      <c r="JQ20" s="26"/>
      <c r="JR20" s="207"/>
      <c r="JS20" s="26"/>
      <c r="JT20" s="220"/>
      <c r="JU20" s="26"/>
      <c r="JV20" s="266"/>
      <c r="JW20" s="155"/>
      <c r="JX20" s="220"/>
      <c r="JY20" s="248"/>
      <c r="JZ20" s="261"/>
      <c r="KA20" s="159"/>
      <c r="KB20" s="155"/>
      <c r="KC20" s="155"/>
      <c r="KD20" s="246"/>
      <c r="KE20" s="268"/>
      <c r="KF20" s="246"/>
      <c r="KG20" s="264"/>
      <c r="KH20" s="246"/>
      <c r="KI20" s="264"/>
      <c r="KJ20" s="246"/>
      <c r="KK20" s="264"/>
      <c r="KL20" s="271"/>
      <c r="KM20" s="268"/>
      <c r="KN20" s="278"/>
      <c r="KO20" s="265"/>
      <c r="KP20" s="278"/>
      <c r="KQ20" s="265"/>
      <c r="KR20" s="34" t="s">
        <v>120</v>
      </c>
    </row>
    <row r="21" spans="1:304" ht="18.75">
      <c r="A21" s="35" t="s">
        <v>329</v>
      </c>
      <c r="B21" s="58">
        <v>-77.8</v>
      </c>
      <c r="C21" s="68">
        <v>131.6</v>
      </c>
      <c r="D21" s="58">
        <v>-78.400000000000006</v>
      </c>
      <c r="E21" s="68">
        <v>143</v>
      </c>
      <c r="F21" s="58">
        <v>-79.099999999999994</v>
      </c>
      <c r="G21" s="68">
        <v>136.9</v>
      </c>
      <c r="H21" s="58">
        <v>-59</v>
      </c>
      <c r="I21" s="68">
        <v>129.9</v>
      </c>
      <c r="J21" s="58">
        <v>-48.5</v>
      </c>
      <c r="K21" s="68">
        <v>106.8</v>
      </c>
      <c r="L21" s="58">
        <v>-46.3</v>
      </c>
      <c r="M21" s="68">
        <v>123.2</v>
      </c>
      <c r="N21" s="68">
        <v>-38.299999999999997</v>
      </c>
      <c r="O21" s="68">
        <v>80</v>
      </c>
      <c r="P21" s="58">
        <v>-63.9</v>
      </c>
      <c r="Q21" s="68">
        <v>141.19999999999999</v>
      </c>
      <c r="R21" s="58">
        <v>-74</v>
      </c>
      <c r="S21" s="68">
        <v>147.69999999999999</v>
      </c>
      <c r="T21" s="58">
        <v>-55.3</v>
      </c>
      <c r="U21" s="68">
        <v>109.8</v>
      </c>
      <c r="V21" s="58">
        <v>-75.5</v>
      </c>
      <c r="W21" s="68">
        <v>147.30000000000001</v>
      </c>
      <c r="X21" s="58">
        <v>-98</v>
      </c>
      <c r="Y21" s="68">
        <v>111.6</v>
      </c>
      <c r="Z21" s="79">
        <v>-794.1</v>
      </c>
      <c r="AA21" s="70">
        <v>125.5</v>
      </c>
      <c r="AB21" s="57">
        <v>-85.3</v>
      </c>
      <c r="AC21" s="68">
        <v>109.6</v>
      </c>
      <c r="AD21" s="58">
        <v>-96.2</v>
      </c>
      <c r="AE21" s="68">
        <v>122.9</v>
      </c>
      <c r="AF21" s="58">
        <v>-71.400000000000006</v>
      </c>
      <c r="AG21" s="68">
        <v>90.3</v>
      </c>
      <c r="AH21" s="58">
        <v>-41</v>
      </c>
      <c r="AI21" s="68">
        <v>69.400000000000006</v>
      </c>
      <c r="AJ21" s="58">
        <v>-42.8</v>
      </c>
      <c r="AK21" s="68">
        <v>88.2</v>
      </c>
      <c r="AL21" s="68">
        <v>-33.799999999999997</v>
      </c>
      <c r="AM21" s="68">
        <v>72.8</v>
      </c>
      <c r="AN21" s="58">
        <v>-40.5</v>
      </c>
      <c r="AO21" s="68">
        <v>105.8</v>
      </c>
      <c r="AP21" s="57">
        <v>-42.9</v>
      </c>
      <c r="AQ21" s="71">
        <v>67.2</v>
      </c>
      <c r="AR21" s="57">
        <v>-48.7</v>
      </c>
      <c r="AS21" s="68">
        <v>65.8</v>
      </c>
      <c r="AT21" s="57">
        <v>-41</v>
      </c>
      <c r="AU21" s="68">
        <v>74.2</v>
      </c>
      <c r="AV21" s="57">
        <v>-52.2</v>
      </c>
      <c r="AW21" s="68">
        <v>69.2</v>
      </c>
      <c r="AX21" s="57">
        <v>-99.8</v>
      </c>
      <c r="AY21" s="68">
        <v>101.7</v>
      </c>
      <c r="AZ21" s="76">
        <v>-695.6</v>
      </c>
      <c r="BA21" s="70">
        <v>87.6</v>
      </c>
      <c r="BB21" s="58">
        <v>-65.400000000000006</v>
      </c>
      <c r="BC21" s="68">
        <v>76.599999999999994</v>
      </c>
      <c r="BD21" s="58">
        <v>-62.2</v>
      </c>
      <c r="BE21" s="58">
        <v>64.7</v>
      </c>
      <c r="BF21" s="58">
        <v>-53</v>
      </c>
      <c r="BG21" s="68">
        <v>74.099999999999994</v>
      </c>
      <c r="BH21" s="58">
        <v>-66.599999999999994</v>
      </c>
      <c r="BI21" s="58">
        <v>162.9</v>
      </c>
      <c r="BJ21" s="58">
        <v>-47.9</v>
      </c>
      <c r="BK21" s="58">
        <v>112.1</v>
      </c>
      <c r="BL21" s="31">
        <v>-61</v>
      </c>
      <c r="BM21" s="31">
        <v>180.6</v>
      </c>
      <c r="BN21" s="58">
        <v>-58.7</v>
      </c>
      <c r="BO21" s="31">
        <v>144.80000000000001</v>
      </c>
      <c r="BP21" s="58">
        <v>-55.7</v>
      </c>
      <c r="BQ21" s="31">
        <v>129.69999999999999</v>
      </c>
      <c r="BR21" s="58">
        <v>-48.5</v>
      </c>
      <c r="BS21" s="31">
        <v>99.5</v>
      </c>
      <c r="BT21" s="87">
        <v>-62.3</v>
      </c>
      <c r="BU21" s="71">
        <v>151.6</v>
      </c>
      <c r="BV21" s="88">
        <v>-56.2</v>
      </c>
      <c r="BW21" s="71">
        <v>107.6</v>
      </c>
      <c r="BX21" s="71">
        <v>-111.6</v>
      </c>
      <c r="BY21" s="71">
        <v>111.8</v>
      </c>
      <c r="BZ21" s="73">
        <v>-749.1</v>
      </c>
      <c r="CA21" s="73">
        <v>107.7</v>
      </c>
      <c r="CB21" s="89">
        <v>-69.5</v>
      </c>
      <c r="CC21" s="74">
        <v>106.2</v>
      </c>
      <c r="CD21" s="89">
        <v>-72.3</v>
      </c>
      <c r="CE21" s="74">
        <v>116.2</v>
      </c>
      <c r="CF21" s="74">
        <v>-61.7</v>
      </c>
      <c r="CG21" s="74">
        <v>116.5</v>
      </c>
      <c r="CH21" s="88">
        <v>-42</v>
      </c>
      <c r="CI21" s="74">
        <v>63.1</v>
      </c>
      <c r="CJ21" s="90">
        <v>-31.5</v>
      </c>
      <c r="CK21" s="74">
        <v>65.400000000000006</v>
      </c>
      <c r="CL21" s="88">
        <v>-40.799999999999997</v>
      </c>
      <c r="CM21" s="74">
        <v>66.900000000000006</v>
      </c>
      <c r="CN21" s="74">
        <v>-35.200000000000003</v>
      </c>
      <c r="CO21" s="89">
        <v>60</v>
      </c>
      <c r="CP21" s="90">
        <v>-56.2</v>
      </c>
      <c r="CQ21" s="89">
        <v>101.1</v>
      </c>
      <c r="CR21" s="88">
        <v>-60.1</v>
      </c>
      <c r="CS21" s="89">
        <v>124.1</v>
      </c>
      <c r="CT21" s="90">
        <v>-56.1</v>
      </c>
      <c r="CU21" s="89">
        <v>89.9</v>
      </c>
      <c r="CV21" s="88">
        <v>-85</v>
      </c>
      <c r="CW21" s="89">
        <v>151.19999999999999</v>
      </c>
      <c r="CX21" s="89">
        <v>-103.3</v>
      </c>
      <c r="CY21" s="89">
        <v>92.6</v>
      </c>
      <c r="CZ21" s="91">
        <v>-713.7</v>
      </c>
      <c r="DA21" s="91">
        <v>95.3</v>
      </c>
      <c r="DB21" s="89">
        <v>-62.9</v>
      </c>
      <c r="DC21" s="57">
        <v>90.7</v>
      </c>
      <c r="DD21" s="58">
        <v>-59</v>
      </c>
      <c r="DE21" s="57">
        <v>81.599999999999994</v>
      </c>
      <c r="DF21" s="58">
        <v>-64</v>
      </c>
      <c r="DG21" s="58">
        <v>103.8</v>
      </c>
      <c r="DH21" s="58">
        <v>-44.4</v>
      </c>
      <c r="DI21" s="58">
        <v>105.6</v>
      </c>
      <c r="DJ21" s="57">
        <v>-22.8</v>
      </c>
      <c r="DK21" s="58">
        <v>72.5</v>
      </c>
      <c r="DL21" s="57">
        <v>-12.4</v>
      </c>
      <c r="DM21" s="75">
        <v>30.5</v>
      </c>
      <c r="DN21" s="58">
        <v>-27.8</v>
      </c>
      <c r="DO21" s="75">
        <v>79.2</v>
      </c>
      <c r="DP21" s="75">
        <v>-41.6</v>
      </c>
      <c r="DQ21" s="58">
        <v>73.8</v>
      </c>
      <c r="DR21" s="57">
        <v>-41.1</v>
      </c>
      <c r="DS21" s="58">
        <v>68.400000000000006</v>
      </c>
      <c r="DT21" s="58">
        <v>-32.299999999999997</v>
      </c>
      <c r="DU21" s="58">
        <v>57.7</v>
      </c>
      <c r="DV21" s="57">
        <v>-54.2</v>
      </c>
      <c r="DW21" s="58">
        <v>63.7</v>
      </c>
      <c r="DX21" s="57">
        <v>-63.3</v>
      </c>
      <c r="DY21" s="57">
        <v>61.2</v>
      </c>
      <c r="DZ21" s="76">
        <v>-525.79999999999995</v>
      </c>
      <c r="EA21" s="76">
        <v>73.7</v>
      </c>
      <c r="EB21" s="58">
        <v>-54.4</v>
      </c>
      <c r="EC21" s="58">
        <v>86.3</v>
      </c>
      <c r="ED21" s="57">
        <v>-51.8</v>
      </c>
      <c r="EE21" s="57">
        <v>87.8</v>
      </c>
      <c r="EF21" s="82">
        <v>-59.3</v>
      </c>
      <c r="EG21" s="57">
        <v>92.7</v>
      </c>
      <c r="EH21" s="57">
        <v>-45.7</v>
      </c>
      <c r="EI21" s="58">
        <v>102.9</v>
      </c>
      <c r="EJ21" s="58">
        <v>-43.3</v>
      </c>
      <c r="EK21" s="58">
        <v>190.4</v>
      </c>
      <c r="EL21" s="58">
        <v>-30.3</v>
      </c>
      <c r="EM21" s="58">
        <v>243.6</v>
      </c>
      <c r="EN21" s="57">
        <v>-40.299999999999997</v>
      </c>
      <c r="EO21" s="58">
        <v>144.69999999999999</v>
      </c>
      <c r="EP21" s="58">
        <v>-43.1</v>
      </c>
      <c r="EQ21" s="58">
        <v>103.7</v>
      </c>
      <c r="ER21" s="58">
        <v>-60</v>
      </c>
      <c r="ES21" s="58">
        <v>146</v>
      </c>
      <c r="ET21" s="58">
        <v>-56.3</v>
      </c>
      <c r="EU21" s="58">
        <v>174.2</v>
      </c>
      <c r="EV21" s="58">
        <v>-55.1</v>
      </c>
      <c r="EW21" s="58">
        <v>101.7</v>
      </c>
      <c r="EX21" s="58">
        <v>-73.5</v>
      </c>
      <c r="EY21" s="58">
        <v>116.3</v>
      </c>
      <c r="EZ21" s="78">
        <v>-613.20000000000005</v>
      </c>
      <c r="FA21" s="78">
        <v>116.6</v>
      </c>
      <c r="FB21" s="31">
        <v>-49.1</v>
      </c>
      <c r="FC21" s="31">
        <v>90.2</v>
      </c>
      <c r="FD21" s="31">
        <v>-57.3</v>
      </c>
      <c r="FE21" s="31">
        <v>110.7</v>
      </c>
      <c r="FF21" s="31">
        <v>-59</v>
      </c>
      <c r="FG21" s="31">
        <v>99.6</v>
      </c>
      <c r="FH21" s="31">
        <v>-56.1</v>
      </c>
      <c r="FI21" s="31">
        <v>122.5</v>
      </c>
      <c r="FJ21" s="31">
        <v>-54.3</v>
      </c>
      <c r="FK21" s="31">
        <v>125.2</v>
      </c>
      <c r="FL21" s="31">
        <v>-50.2</v>
      </c>
      <c r="FM21" s="31">
        <v>165.7</v>
      </c>
      <c r="FN21" s="31">
        <v>-54.1</v>
      </c>
      <c r="FO21" s="31">
        <v>134.30000000000001</v>
      </c>
      <c r="FP21" s="31">
        <v>-64.599999999999994</v>
      </c>
      <c r="FQ21" s="31">
        <v>150.1</v>
      </c>
      <c r="FR21" s="31">
        <v>-69.5</v>
      </c>
      <c r="FS21" s="31">
        <v>115.9</v>
      </c>
      <c r="FT21" s="31">
        <v>-70.2</v>
      </c>
      <c r="FU21" s="31">
        <v>124.7</v>
      </c>
      <c r="FV21" s="31">
        <v>-69.5</v>
      </c>
      <c r="FW21" s="31">
        <v>126</v>
      </c>
      <c r="FX21" s="31">
        <v>-89.4</v>
      </c>
      <c r="FY21" s="31">
        <v>121.5</v>
      </c>
      <c r="FZ21" s="78">
        <v>-743.2</v>
      </c>
      <c r="GA21" s="78">
        <v>121.2</v>
      </c>
      <c r="GB21" s="31">
        <v>-60.2</v>
      </c>
      <c r="GC21" s="31">
        <v>122.6</v>
      </c>
      <c r="GD21" s="31">
        <v>-67.599999999999994</v>
      </c>
      <c r="GE21" s="31">
        <v>117.9</v>
      </c>
      <c r="GF21" s="31">
        <v>-91.2</v>
      </c>
      <c r="GG21" s="31">
        <v>154.5</v>
      </c>
      <c r="GH21" s="31">
        <v>-62.1</v>
      </c>
      <c r="GI21" s="31">
        <v>110.9</v>
      </c>
      <c r="GJ21" s="28">
        <v>-74.599999999999994</v>
      </c>
      <c r="GK21" s="29">
        <v>137.4</v>
      </c>
      <c r="GL21" s="28">
        <v>-73.599999999999994</v>
      </c>
      <c r="GM21" s="29">
        <v>146.6</v>
      </c>
      <c r="GN21" s="28">
        <v>-85.3</v>
      </c>
      <c r="GO21" s="29">
        <v>157.6</v>
      </c>
      <c r="GP21" s="117">
        <v>-98</v>
      </c>
      <c r="GQ21" s="120">
        <v>151.5</v>
      </c>
      <c r="GR21" s="28">
        <v>-94.6</v>
      </c>
      <c r="GS21" s="29">
        <v>136.1</v>
      </c>
      <c r="GT21" s="28">
        <v>-89.999999999999986</v>
      </c>
      <c r="GU21" s="120">
        <v>128</v>
      </c>
      <c r="GV21" s="28">
        <v>-115.99999999999999</v>
      </c>
      <c r="GW21" s="117">
        <v>167</v>
      </c>
      <c r="GX21" s="28">
        <v>-120.10000000000001</v>
      </c>
      <c r="GY21" s="130">
        <v>134.4</v>
      </c>
      <c r="GZ21" s="122">
        <v>-1033.1999999999998</v>
      </c>
      <c r="HA21" s="125">
        <v>139</v>
      </c>
      <c r="HB21" s="140">
        <v>-78</v>
      </c>
      <c r="HC21" s="117">
        <f>IF(-60134.18068="","-",-78072.6551/-60134.18068*100)</f>
        <v>129.83074553798014</v>
      </c>
      <c r="HD21" s="140">
        <v>-82.9</v>
      </c>
      <c r="HE21" s="117">
        <f>IF(-67588.8307="","-",-82987.83316/-67588.8307*100)</f>
        <v>122.78335384784218</v>
      </c>
      <c r="HF21" s="140">
        <v>-104.3</v>
      </c>
      <c r="HG21" s="117">
        <f>IF(-91157.58477="","-",-104335.96908/-91157.58477*100)</f>
        <v>114.45670631056144</v>
      </c>
      <c r="HH21" s="140">
        <v>-94.7</v>
      </c>
      <c r="HI21" s="117">
        <f>IF(-62117.93412="","-",-94630.38265/-62117.93412*100)</f>
        <v>152.33987412909153</v>
      </c>
      <c r="HJ21" s="140">
        <v>-69.599999999999994</v>
      </c>
      <c r="HK21" s="117">
        <f>IF(-74608.70473="","-",-69543.00601/-74608.70473*100)</f>
        <v>93.210311399544921</v>
      </c>
      <c r="HL21" s="140">
        <v>-64.5</v>
      </c>
      <c r="HM21" s="117">
        <f>IF(-73579.2759="","-",-64541.71765/-73579.2759*100)</f>
        <v>87.717250354185666</v>
      </c>
      <c r="HN21" s="140">
        <v>-81.900000000000006</v>
      </c>
      <c r="HO21" s="117">
        <f>IF(-85326.55316="","-",-81917.10951/-85326.55316*100)</f>
        <v>96.004240738979831</v>
      </c>
      <c r="HP21" s="140">
        <v>-80.7</v>
      </c>
      <c r="HQ21" s="117">
        <f>IF(-97950.02064="","-",-80640.97341/-97950.02064*100)</f>
        <v>82.328694657843215</v>
      </c>
      <c r="HR21" s="140">
        <v>-73.2</v>
      </c>
      <c r="HS21" s="117">
        <f>IF(-94626.36574="","-",-73251.00199/-94626.36574*100)</f>
        <v>77.410773854792254</v>
      </c>
      <c r="HT21" s="140">
        <v>-67.900000000000006</v>
      </c>
      <c r="HU21" s="117">
        <f>IF(-89953.44616="","-",-67941.16153/-89953.44616*100)</f>
        <v>75.529248105907129</v>
      </c>
      <c r="HV21" s="140">
        <v>-75.5</v>
      </c>
      <c r="HW21" s="117">
        <f>IF(-115997.3869="","-",-75502.25422/-115997.3869*100)</f>
        <v>65.089616445489085</v>
      </c>
      <c r="HX21" s="140">
        <v>-109</v>
      </c>
      <c r="HY21" s="117">
        <f>IF(-120116.2352="","-",-108911.00522/-120116.2352*100)</f>
        <v>90.671344334641617</v>
      </c>
      <c r="HZ21" s="141">
        <v>-982.2</v>
      </c>
      <c r="IA21" s="125">
        <f>IF(-1033156.5187="","-",-982275.06953/-1033156.5187*100)</f>
        <v>95.075146093640967</v>
      </c>
      <c r="IB21" s="155">
        <v>-73</v>
      </c>
      <c r="IC21" s="116">
        <f>IF(-78072.6551="","-",-72987.02785/-78072.6551*100)</f>
        <v>93.486032666000625</v>
      </c>
      <c r="ID21" s="155">
        <v>-88.3</v>
      </c>
      <c r="IE21" s="116">
        <f>IF(-82987.83316="","-",-88280.60763/-82987.83316*100)</f>
        <v>106.37777161839563</v>
      </c>
      <c r="IF21" s="155">
        <v>-85.1</v>
      </c>
      <c r="IG21" s="117">
        <f>IF(-104335.96908="","-",-85129.52107/-104335.96908*100)</f>
        <v>81.591728931684742</v>
      </c>
      <c r="IH21" s="155">
        <v>-36.6</v>
      </c>
      <c r="II21" s="117">
        <f>IF(-94630.38265="","-",-36564.38796/-94630.38265*100)</f>
        <v>38.639163169441119</v>
      </c>
      <c r="IJ21" s="28">
        <v>-45.3</v>
      </c>
      <c r="IK21" s="117">
        <f>IF(-69543.00601="","-",-45240.06831/-69543.00601*100)</f>
        <v>65.05336899514333</v>
      </c>
      <c r="IL21" s="117">
        <v>-63.6</v>
      </c>
      <c r="IM21" s="117">
        <f>IF(-64541.71765="","-",-63601.76238/-64541.71765*100)</f>
        <v>98.543646955450996</v>
      </c>
      <c r="IN21" s="28">
        <v>-121.2</v>
      </c>
      <c r="IO21" s="117">
        <f>IF(-81917.10951="","-",-121214.76089/-81917.10951*100)</f>
        <v>147.97245851942904</v>
      </c>
      <c r="IP21" s="28">
        <v>-83</v>
      </c>
      <c r="IQ21" s="117">
        <f>IF(-80640.97341="","-",-83005.12751/-80640.97341*100)</f>
        <v>102.93170332652114</v>
      </c>
      <c r="IR21" s="116">
        <v>-85.5</v>
      </c>
      <c r="IS21" s="116">
        <f>IF(-73251.00199="","-",-85514.32419/-73251.00199*100)</f>
        <v>116.74150778398109</v>
      </c>
      <c r="IT21" s="116">
        <v>-79.7</v>
      </c>
      <c r="IU21" s="117">
        <f>IF(-67941.16153="","-",-79689.59091/-67941.16153*100)</f>
        <v>117.29206436191465</v>
      </c>
      <c r="IV21" s="116">
        <v>-81.599999999999994</v>
      </c>
      <c r="IW21" s="117">
        <f>IF(-75502.25422="","-",-81633.92754/-75502.25422*100)</f>
        <v>108.12117914007362</v>
      </c>
      <c r="IX21" s="116">
        <v>-97.9</v>
      </c>
      <c r="IY21" s="119">
        <f>IF(-108911.00522="","-",-97898.54924/-108911.00522*100)</f>
        <v>89.888573741694074</v>
      </c>
      <c r="IZ21" s="142">
        <v>-940.8</v>
      </c>
      <c r="JA21" s="142">
        <f>IF(-982275.06953="","-",-940759.65548/-982275.06953*100)</f>
        <v>95.773544973521069</v>
      </c>
      <c r="JB21" s="214">
        <v>-71.099999999999994</v>
      </c>
      <c r="JC21" s="116">
        <f>IF(-72987.02785="","-",-71049.57462/-72987.02785*100)</f>
        <v>97.345482769922114</v>
      </c>
      <c r="JD21" s="214">
        <v>-81.5</v>
      </c>
      <c r="JE21" s="116">
        <f>IF(-88280.60763="","-",-81550.83173/-88280.60763*100)</f>
        <v>92.376835546708406</v>
      </c>
      <c r="JF21" s="214">
        <v>-96</v>
      </c>
      <c r="JG21" s="116">
        <f>IF(-85129.52107="","-",-95963.17101/-85129.52107*100)</f>
        <v>112.7260788077167</v>
      </c>
      <c r="JH21" s="214">
        <v>-97.7</v>
      </c>
      <c r="JI21" s="117">
        <f>IF(-36564.38796="","-",-97699.25958/-36564.38796*100)</f>
        <v>267.19785296797289</v>
      </c>
      <c r="JJ21" s="214">
        <v>-92.6</v>
      </c>
      <c r="JK21" s="116">
        <f>IF(-45240.06831="","-",-92567.7426/-45240.06831*100)</f>
        <v>204.61450669281714</v>
      </c>
      <c r="JL21" s="214">
        <v>-95.3</v>
      </c>
      <c r="JM21" s="117">
        <f>IF(-63601.76238="","-",-95351.78485/-63601.76238*100)</f>
        <v>149.9200356749611</v>
      </c>
      <c r="JN21" s="214">
        <v>-108.1</v>
      </c>
      <c r="JO21" s="116">
        <f>IF(-121214.76089="","-",-108079.41239/-121214.76089*100)</f>
        <v>89.163573476071875</v>
      </c>
      <c r="JP21" s="214">
        <v>-126.5</v>
      </c>
      <c r="JQ21" s="116">
        <f>IF(-83005.12751="","-",-126488.56987/-83005.12751*100)</f>
        <v>152.38645330044383</v>
      </c>
      <c r="JR21" s="214">
        <v>-142</v>
      </c>
      <c r="JS21" s="117">
        <f>IF(-85514.32419="","-",-141973.23237/-85514.32419*100)</f>
        <v>166.02274965601879</v>
      </c>
      <c r="JT21" s="223">
        <v>-153.1</v>
      </c>
      <c r="JU21" s="116">
        <f>IF(-79689.59091="","-",-153107.2449/-79689.59091*100)</f>
        <v>192.12954057314283</v>
      </c>
      <c r="JV21" s="219">
        <v>-185.1</v>
      </c>
      <c r="JW21" s="157">
        <f>IF(-81633.92754="","-",-185026.80771/-81633.92754*100)</f>
        <v>226.65430083507653</v>
      </c>
      <c r="JX21" s="223">
        <f>(JX9-JX15)</f>
        <v>-190.60000000000002</v>
      </c>
      <c r="JY21" s="120">
        <f>IF(-97898.54924="","-",-190536.93196/-97898.54924*100)</f>
        <v>194.62692086773973</v>
      </c>
      <c r="JZ21" s="156">
        <v>-1439.4</v>
      </c>
      <c r="KA21" s="159">
        <f>IF(-940759.65548="","-",-1439394.56359/-940759.65548*100)</f>
        <v>153.00343240756681</v>
      </c>
      <c r="KB21" s="155">
        <v>-193</v>
      </c>
      <c r="KC21" s="250">
        <f>IF(-71049.57462="","-",-193104.0598/-71049.57462*100)</f>
        <v>271.78777752406478</v>
      </c>
      <c r="KD21" s="155">
        <v>-164.2</v>
      </c>
      <c r="KE21" s="250">
        <f>IF(-81550.83173="","-",-164222.00051/-81550.83173*100)</f>
        <v>201.37378985135211</v>
      </c>
      <c r="KF21" s="155">
        <v>-170.10000000000002</v>
      </c>
      <c r="KG21" s="250">
        <f>IF(-95963.17101="","-",-170107.16667/-95963.17101*100)</f>
        <v>177.26296961599331</v>
      </c>
      <c r="KH21" s="155">
        <v>-130.9</v>
      </c>
      <c r="KI21" s="250">
        <f>IF(-97699.25958="","-",-130903.85351/-97699.25958*100)</f>
        <v>133.98653589878106</v>
      </c>
      <c r="KJ21" s="155">
        <f>(KJ9-KJ15)</f>
        <v>-60.699999999999989</v>
      </c>
      <c r="KK21" s="250">
        <f>IF(-92567.7426="","-",-60709.51119/-92567.7426*100)</f>
        <v>65.583873479917827</v>
      </c>
      <c r="KL21" s="155">
        <f>(KL9-KL15)</f>
        <v>-24.700000000000017</v>
      </c>
      <c r="KM21" s="157">
        <f>IF(-95351.78485="","-",-24698.39781/-95351.78485*100)</f>
        <v>25.902396949206135</v>
      </c>
      <c r="KN21" s="155">
        <f>(KN9-KN15)</f>
        <v>-60.7</v>
      </c>
      <c r="KO21" s="250">
        <v>56.154739795398335</v>
      </c>
      <c r="KP21" s="155">
        <f>(KP9-KP15)</f>
        <v>-67.399999999999991</v>
      </c>
      <c r="KQ21" s="250">
        <f>IF(-126488.56987="","-",-67316.85938/-126488.56987*100)</f>
        <v>53.219717361960548</v>
      </c>
      <c r="KR21" s="35" t="s">
        <v>329</v>
      </c>
    </row>
    <row r="22" spans="1:304" ht="18.75">
      <c r="A22" s="35" t="s">
        <v>330</v>
      </c>
      <c r="B22" s="58">
        <v>-33.5</v>
      </c>
      <c r="C22" s="68">
        <v>136.80000000000001</v>
      </c>
      <c r="D22" s="58">
        <v>-59.1</v>
      </c>
      <c r="E22" s="68">
        <v>131.19999999999999</v>
      </c>
      <c r="F22" s="58">
        <v>-114</v>
      </c>
      <c r="G22" s="68">
        <v>138.30000000000001</v>
      </c>
      <c r="H22" s="58">
        <v>-109.4</v>
      </c>
      <c r="I22" s="68">
        <v>116.1</v>
      </c>
      <c r="J22" s="58">
        <v>-128.1</v>
      </c>
      <c r="K22" s="68">
        <v>134.30000000000001</v>
      </c>
      <c r="L22" s="58">
        <v>-118.2</v>
      </c>
      <c r="M22" s="68">
        <v>117.4</v>
      </c>
      <c r="N22" s="68">
        <v>-109.3</v>
      </c>
      <c r="O22" s="68">
        <v>118.4</v>
      </c>
      <c r="P22" s="58">
        <v>-81.2</v>
      </c>
      <c r="Q22" s="68">
        <v>97</v>
      </c>
      <c r="R22" s="58">
        <v>-119.8</v>
      </c>
      <c r="S22" s="68">
        <v>126.1</v>
      </c>
      <c r="T22" s="58">
        <v>-105.6</v>
      </c>
      <c r="U22" s="68">
        <v>129</v>
      </c>
      <c r="V22" s="58">
        <v>-81</v>
      </c>
      <c r="W22" s="68">
        <v>95.2</v>
      </c>
      <c r="X22" s="58">
        <v>-114.1</v>
      </c>
      <c r="Y22" s="68">
        <v>119.9</v>
      </c>
      <c r="Z22" s="79">
        <v>-1173.3</v>
      </c>
      <c r="AA22" s="70">
        <v>120.3</v>
      </c>
      <c r="AB22" s="57">
        <v>-41.4</v>
      </c>
      <c r="AC22" s="68">
        <v>123.4</v>
      </c>
      <c r="AD22" s="58">
        <v>-74.8</v>
      </c>
      <c r="AE22" s="68">
        <v>126.5</v>
      </c>
      <c r="AF22" s="58">
        <v>-99.8</v>
      </c>
      <c r="AG22" s="68">
        <v>87.5</v>
      </c>
      <c r="AH22" s="58">
        <v>-113.8</v>
      </c>
      <c r="AI22" s="68">
        <v>104.1</v>
      </c>
      <c r="AJ22" s="58">
        <v>-121.6</v>
      </c>
      <c r="AK22" s="68">
        <v>94.9</v>
      </c>
      <c r="AL22" s="68">
        <v>-106</v>
      </c>
      <c r="AM22" s="68">
        <v>89.8</v>
      </c>
      <c r="AN22" s="58">
        <v>-133.4</v>
      </c>
      <c r="AO22" s="68">
        <v>122.1</v>
      </c>
      <c r="AP22" s="57">
        <v>-123.8</v>
      </c>
      <c r="AQ22" s="71">
        <v>152.5</v>
      </c>
      <c r="AR22" s="57">
        <v>-116</v>
      </c>
      <c r="AS22" s="68">
        <v>96.8</v>
      </c>
      <c r="AT22" s="57">
        <v>-138.80000000000001</v>
      </c>
      <c r="AU22" s="68">
        <v>131.4</v>
      </c>
      <c r="AV22" s="57">
        <v>-122.5</v>
      </c>
      <c r="AW22" s="68">
        <v>151.1</v>
      </c>
      <c r="AX22" s="57">
        <v>-113.3</v>
      </c>
      <c r="AY22" s="68">
        <v>99.4</v>
      </c>
      <c r="AZ22" s="76">
        <v>-1305.2</v>
      </c>
      <c r="BA22" s="70">
        <v>111.2</v>
      </c>
      <c r="BB22" s="58">
        <v>-44.2</v>
      </c>
      <c r="BC22" s="68">
        <v>106.8</v>
      </c>
      <c r="BD22" s="58">
        <v>-82.5</v>
      </c>
      <c r="BE22" s="58">
        <v>110.1</v>
      </c>
      <c r="BF22" s="58">
        <v>-126.5</v>
      </c>
      <c r="BG22" s="68">
        <v>126.5</v>
      </c>
      <c r="BH22" s="58">
        <v>-139.9</v>
      </c>
      <c r="BI22" s="58">
        <v>122.8</v>
      </c>
      <c r="BJ22" s="58">
        <v>-117</v>
      </c>
      <c r="BK22" s="58">
        <v>95.9</v>
      </c>
      <c r="BL22" s="58">
        <v>-122.6</v>
      </c>
      <c r="BM22" s="31">
        <v>115.6</v>
      </c>
      <c r="BN22" s="58">
        <v>-126.1</v>
      </c>
      <c r="BO22" s="58">
        <v>94.4</v>
      </c>
      <c r="BP22" s="58">
        <v>-103.8</v>
      </c>
      <c r="BQ22" s="58">
        <v>83.8</v>
      </c>
      <c r="BR22" s="58">
        <v>-125.8</v>
      </c>
      <c r="BS22" s="58">
        <v>108.3</v>
      </c>
      <c r="BT22" s="77">
        <v>-110.7</v>
      </c>
      <c r="BU22" s="77">
        <v>79.8</v>
      </c>
      <c r="BV22" s="88">
        <v>-99.1</v>
      </c>
      <c r="BW22" s="77">
        <v>80.8</v>
      </c>
      <c r="BX22" s="77">
        <v>-136.6</v>
      </c>
      <c r="BY22" s="77">
        <v>120.5</v>
      </c>
      <c r="BZ22" s="92">
        <v>-1334.8</v>
      </c>
      <c r="CA22" s="92">
        <v>102.2</v>
      </c>
      <c r="CB22" s="89">
        <v>-33.200000000000003</v>
      </c>
      <c r="CC22" s="93">
        <v>75.2</v>
      </c>
      <c r="CD22" s="89">
        <v>-79.2</v>
      </c>
      <c r="CE22" s="93">
        <v>95.9</v>
      </c>
      <c r="CF22" s="93">
        <v>-117.9</v>
      </c>
      <c r="CG22" s="93">
        <v>93.2</v>
      </c>
      <c r="CH22" s="90">
        <v>-139.4</v>
      </c>
      <c r="CI22" s="93">
        <v>99.6</v>
      </c>
      <c r="CJ22" s="90">
        <v>-120.8</v>
      </c>
      <c r="CK22" s="93">
        <v>103.3</v>
      </c>
      <c r="CL22" s="88">
        <v>-131.69999999999999</v>
      </c>
      <c r="CM22" s="93">
        <v>107.4</v>
      </c>
      <c r="CN22" s="93">
        <v>-136.69999999999999</v>
      </c>
      <c r="CO22" s="89">
        <v>108.4</v>
      </c>
      <c r="CP22" s="90">
        <v>-117.7</v>
      </c>
      <c r="CQ22" s="89">
        <v>113.3</v>
      </c>
      <c r="CR22" s="88">
        <v>-131.69999999999999</v>
      </c>
      <c r="CS22" s="89">
        <v>104.6</v>
      </c>
      <c r="CT22" s="90">
        <v>-127.5</v>
      </c>
      <c r="CU22" s="89">
        <v>115.3</v>
      </c>
      <c r="CV22" s="90">
        <v>-78.400000000000006</v>
      </c>
      <c r="CW22" s="89">
        <v>79.2</v>
      </c>
      <c r="CX22" s="89">
        <v>-107.5</v>
      </c>
      <c r="CY22" s="89">
        <v>78.8</v>
      </c>
      <c r="CZ22" s="91">
        <v>-1321.7</v>
      </c>
      <c r="DA22" s="91">
        <v>99</v>
      </c>
      <c r="DB22" s="89">
        <v>-8.6999999999999993</v>
      </c>
      <c r="DC22" s="57">
        <v>26.2</v>
      </c>
      <c r="DD22" s="58">
        <v>-22.8</v>
      </c>
      <c r="DE22" s="57">
        <v>28.8</v>
      </c>
      <c r="DF22" s="57">
        <v>-81.900000000000006</v>
      </c>
      <c r="DG22" s="58">
        <v>69.5</v>
      </c>
      <c r="DH22" s="58">
        <v>-79.3</v>
      </c>
      <c r="DI22" s="58">
        <v>56.9</v>
      </c>
      <c r="DJ22" s="57">
        <v>-61.5</v>
      </c>
      <c r="DK22" s="58">
        <v>51</v>
      </c>
      <c r="DL22" s="57">
        <v>-82.3</v>
      </c>
      <c r="DM22" s="75">
        <v>62.4</v>
      </c>
      <c r="DN22" s="58">
        <v>-81.400000000000006</v>
      </c>
      <c r="DO22" s="75">
        <v>59.5</v>
      </c>
      <c r="DP22" s="68">
        <v>-77</v>
      </c>
      <c r="DQ22" s="58">
        <v>65.400000000000006</v>
      </c>
      <c r="DR22" s="57">
        <v>-67.8</v>
      </c>
      <c r="DS22" s="58">
        <v>51.5</v>
      </c>
      <c r="DT22" s="58">
        <v>-57.2</v>
      </c>
      <c r="DU22" s="58">
        <v>44.7</v>
      </c>
      <c r="DV22" s="58">
        <v>-58.3</v>
      </c>
      <c r="DW22" s="58">
        <v>74.3</v>
      </c>
      <c r="DX22" s="57">
        <v>-58.5</v>
      </c>
      <c r="DY22" s="57">
        <v>54.5</v>
      </c>
      <c r="DZ22" s="79">
        <v>-736.7</v>
      </c>
      <c r="EA22" s="79">
        <v>55.7</v>
      </c>
      <c r="EB22" s="58">
        <v>-6.8</v>
      </c>
      <c r="EC22" s="58">
        <v>79.7</v>
      </c>
      <c r="ED22" s="57">
        <v>-42.6</v>
      </c>
      <c r="EE22" s="58">
        <v>187</v>
      </c>
      <c r="EF22" s="82">
        <v>-83.4</v>
      </c>
      <c r="EG22" s="57">
        <v>101.8</v>
      </c>
      <c r="EH22" s="57">
        <v>-77.3</v>
      </c>
      <c r="EI22" s="58">
        <v>97.5</v>
      </c>
      <c r="EJ22" s="58">
        <v>-68.400000000000006</v>
      </c>
      <c r="EK22" s="58">
        <v>111.2</v>
      </c>
      <c r="EL22" s="58">
        <v>-70.599999999999994</v>
      </c>
      <c r="EM22" s="58">
        <v>85.9</v>
      </c>
      <c r="EN22" s="57">
        <v>-57.1</v>
      </c>
      <c r="EO22" s="58">
        <v>70.2</v>
      </c>
      <c r="EP22" s="58">
        <v>-71.400000000000006</v>
      </c>
      <c r="EQ22" s="58">
        <v>92.8</v>
      </c>
      <c r="ER22" s="58">
        <v>-42.8</v>
      </c>
      <c r="ES22" s="58">
        <v>63.3</v>
      </c>
      <c r="ET22" s="58">
        <v>-58.3</v>
      </c>
      <c r="EU22" s="58">
        <v>120.1</v>
      </c>
      <c r="EV22" s="58">
        <v>-16.5</v>
      </c>
      <c r="EW22" s="58">
        <v>28.3</v>
      </c>
      <c r="EX22" s="58">
        <v>-46.3</v>
      </c>
      <c r="EY22" s="58">
        <v>78.3</v>
      </c>
      <c r="EZ22" s="78">
        <v>-641.79999999999995</v>
      </c>
      <c r="FA22" s="78">
        <v>87.1</v>
      </c>
      <c r="FB22" s="31">
        <v>-27.8</v>
      </c>
      <c r="FC22" s="31">
        <v>401.1</v>
      </c>
      <c r="FD22" s="31">
        <v>-36.4</v>
      </c>
      <c r="FE22" s="31">
        <v>85.2</v>
      </c>
      <c r="FF22" s="31">
        <v>-90.9</v>
      </c>
      <c r="FG22" s="31">
        <v>109.1</v>
      </c>
      <c r="FH22" s="31">
        <v>-87.9</v>
      </c>
      <c r="FI22" s="31">
        <v>113.7</v>
      </c>
      <c r="FJ22" s="31">
        <v>-92.6</v>
      </c>
      <c r="FK22" s="31">
        <v>135.4</v>
      </c>
      <c r="FL22" s="31">
        <v>-85</v>
      </c>
      <c r="FM22" s="31">
        <v>120.4</v>
      </c>
      <c r="FN22" s="31">
        <v>-83</v>
      </c>
      <c r="FO22" s="31">
        <v>145.30000000000001</v>
      </c>
      <c r="FP22" s="31">
        <v>-79.400000000000006</v>
      </c>
      <c r="FQ22" s="31">
        <v>111.1</v>
      </c>
      <c r="FR22" s="31">
        <v>-64.3</v>
      </c>
      <c r="FS22" s="31">
        <v>149.5</v>
      </c>
      <c r="FT22" s="31">
        <v>-43.4</v>
      </c>
      <c r="FU22" s="31">
        <v>74.5</v>
      </c>
      <c r="FV22" s="31">
        <v>-39.5</v>
      </c>
      <c r="FW22" s="31">
        <v>238.6</v>
      </c>
      <c r="FX22" s="31">
        <v>-62.1</v>
      </c>
      <c r="FY22" s="31">
        <v>134.19999999999999</v>
      </c>
      <c r="FZ22" s="78">
        <v>-792.3</v>
      </c>
      <c r="GA22" s="78">
        <v>123.5</v>
      </c>
      <c r="GB22" s="31">
        <v>-25.1</v>
      </c>
      <c r="GC22" s="31">
        <v>90.1</v>
      </c>
      <c r="GD22" s="31">
        <v>-69.3</v>
      </c>
      <c r="GE22" s="31">
        <v>190.8</v>
      </c>
      <c r="GF22" s="31">
        <v>-94.7</v>
      </c>
      <c r="GG22" s="31">
        <v>104.2</v>
      </c>
      <c r="GH22" s="31">
        <v>-104.5</v>
      </c>
      <c r="GI22" s="31">
        <v>118.8</v>
      </c>
      <c r="GJ22" s="28">
        <v>-110</v>
      </c>
      <c r="GK22" s="29">
        <v>118.8</v>
      </c>
      <c r="GL22" s="28">
        <v>-91.7</v>
      </c>
      <c r="GM22" s="29">
        <v>107.8</v>
      </c>
      <c r="GN22" s="28">
        <v>-97.7</v>
      </c>
      <c r="GO22" s="29">
        <v>117.7</v>
      </c>
      <c r="GP22" s="117">
        <v>-67.099999999999994</v>
      </c>
      <c r="GQ22" s="120">
        <v>84.5</v>
      </c>
      <c r="GR22" s="28">
        <v>-83.5</v>
      </c>
      <c r="GS22" s="29">
        <v>129.80000000000001</v>
      </c>
      <c r="GT22" s="28">
        <v>-91.499999999999972</v>
      </c>
      <c r="GU22" s="120">
        <v>211</v>
      </c>
      <c r="GV22" s="28">
        <v>-52.400000000000006</v>
      </c>
      <c r="GW22" s="117">
        <v>132.80000000000001</v>
      </c>
      <c r="GX22" s="28">
        <v>-101.5</v>
      </c>
      <c r="GY22" s="130">
        <v>163.30000000000001</v>
      </c>
      <c r="GZ22" s="122">
        <v>-988.90000000000009</v>
      </c>
      <c r="HA22" s="125">
        <v>124.8</v>
      </c>
      <c r="HB22" s="140">
        <v>-11.2</v>
      </c>
      <c r="HC22" s="117">
        <f>IF(-25057.99842="","-",-11098.79763/-25057.99842*100)</f>
        <v>44.292434870382593</v>
      </c>
      <c r="HD22" s="140">
        <v>-69.900000000000006</v>
      </c>
      <c r="HE22" s="117">
        <f>IF(-69324.57283="","-",-69882.63049/-69324.57283*100)</f>
        <v>100.80499256932815</v>
      </c>
      <c r="HF22" s="140">
        <v>-101.4</v>
      </c>
      <c r="HG22" s="117">
        <f>IF(-94710.56177="","-",-101423.08074/-94710.56177*100)</f>
        <v>107.08740276116305</v>
      </c>
      <c r="HH22" s="140">
        <v>-132.4</v>
      </c>
      <c r="HI22" s="117">
        <f>IF(-104519.03937="","-",-132462.08009/-104519.03937*100)</f>
        <v>126.73488092545601</v>
      </c>
      <c r="HJ22" s="140">
        <v>-108</v>
      </c>
      <c r="HK22" s="117">
        <f>IF(-109999.51734="","-",-107991.5694/-109999.51734*100)</f>
        <v>98.174584772228044</v>
      </c>
      <c r="HL22" s="140">
        <v>-99.9</v>
      </c>
      <c r="HM22" s="117">
        <f>IF(-91671.33084="","-",-99855.42731/-91671.33084*100)</f>
        <v>108.92765098423655</v>
      </c>
      <c r="HN22" s="140">
        <v>-105.4</v>
      </c>
      <c r="HO22" s="117">
        <f>IF(-97669.84975="","-",-105417.7183/-97669.84975*100)</f>
        <v>107.93271267420988</v>
      </c>
      <c r="HP22" s="140">
        <v>-84.9</v>
      </c>
      <c r="HQ22" s="117">
        <f>IF(-67080.16738="","-",-84927.72818/-67080.16738*100)</f>
        <v>126.60631524500529</v>
      </c>
      <c r="HR22" s="140">
        <v>-93.3</v>
      </c>
      <c r="HS22" s="117">
        <f>IF(-83465.49124="","-",-93299.41764/-83465.49124*100)</f>
        <v>111.7820266243005</v>
      </c>
      <c r="HT22" s="140">
        <v>-81.599999999999994</v>
      </c>
      <c r="HU22" s="117">
        <f>IF(-91578.62372="","-",-81603.41454/-91578.62372*100)</f>
        <v>89.107491710621218</v>
      </c>
      <c r="HV22" s="140">
        <v>-70.5</v>
      </c>
      <c r="HW22" s="117">
        <f>IF(-52410.8604="","-",-70460.50638/-52410.8604*100)</f>
        <v>134.43875151494368</v>
      </c>
      <c r="HX22" s="140">
        <v>-101</v>
      </c>
      <c r="HY22" s="117">
        <f>IF(-101448.35447="","-",-101009.95115/-101448.35447*100)</f>
        <v>99.567855661838607</v>
      </c>
      <c r="HZ22" s="141">
        <v>-1059.5</v>
      </c>
      <c r="IA22" s="125">
        <f>IF(-988936.36753="","-",-1059432.32185/-988936.36753*100)</f>
        <v>107.12846211693812</v>
      </c>
      <c r="IB22" s="155">
        <v>-23.3</v>
      </c>
      <c r="IC22" s="116">
        <f>IF(-11177.34057="","-",-23336.76307/-11177.34057*100)</f>
        <v>208.78636491256168</v>
      </c>
      <c r="ID22" s="155">
        <v>-67.3</v>
      </c>
      <c r="IE22" s="116">
        <f>IF(-68483.0751="","-",-67288.38935/-68483.0751*100)</f>
        <v>98.255502183195617</v>
      </c>
      <c r="IF22" s="155">
        <v>-109.3</v>
      </c>
      <c r="IG22" s="117">
        <f>IF(-100127.87055="","-",-109283.02979/-100127.87055*100)</f>
        <v>109.1434674378981</v>
      </c>
      <c r="IH22" s="155">
        <v>-48</v>
      </c>
      <c r="II22" s="117">
        <f>IF(-132293.99105="","-",-48035.09394/-132293.99105*100)</f>
        <v>36.309354309104876</v>
      </c>
      <c r="IJ22" s="28">
        <v>-60.3</v>
      </c>
      <c r="IK22" s="117">
        <f>IF(-108704.09508="","-",-60322.27586/-108704.09508*100)</f>
        <v>55.49218345050042</v>
      </c>
      <c r="IL22" s="116">
        <v>-67.5</v>
      </c>
      <c r="IM22" s="117">
        <f>IF(-100528.06844="","-",-67551.46413/-100528.06844*100)</f>
        <v>67.196619987101386</v>
      </c>
      <c r="IN22" s="28">
        <v>-75.400000000000006</v>
      </c>
      <c r="IO22" s="117">
        <f>IF(-105879.03392="","-",-75348.26649/-105879.03392*100)</f>
        <v>71.16448242900627</v>
      </c>
      <c r="IP22" s="28">
        <v>-79</v>
      </c>
      <c r="IQ22" s="117">
        <f>IF(-83530.86424="","-",-79026.44019/-83530.86424*100)</f>
        <v>94.607473427955995</v>
      </c>
      <c r="IR22" s="116">
        <v>-80.5</v>
      </c>
      <c r="IS22" s="116">
        <f>IF(-91611.67729="","-",-80529.63458/-91611.67729*100)</f>
        <v>87.90324220904786</v>
      </c>
      <c r="IT22" s="116">
        <v>-49.4</v>
      </c>
      <c r="IU22" s="117">
        <f>IF(-80781.47412="","-",-49419.49917/-80781.47412*100)</f>
        <v>61.176773150472442</v>
      </c>
      <c r="IV22" s="116">
        <v>-60.7</v>
      </c>
      <c r="IW22" s="117">
        <f>IF(-68928.08047="","-",-60624.45411/-68928.08047*100)</f>
        <v>87.953202376476966</v>
      </c>
      <c r="IX22" s="116">
        <v>-109.6</v>
      </c>
      <c r="IY22" s="119">
        <f>IF(-98588.99527="","-",-109612.26839/-98588.99527*100)</f>
        <v>111.18103809640336</v>
      </c>
      <c r="IZ22" s="122">
        <v>-830.4</v>
      </c>
      <c r="JA22" s="125">
        <f>IF(-1050634.5661="","-",-830377.57907/-1050634.5661*100)</f>
        <v>79.035813770376578</v>
      </c>
      <c r="JB22" s="214">
        <v>-43.7</v>
      </c>
      <c r="JC22" s="116">
        <f>IF(-23336.76307="","-",-43684.75288/-23336.76307*100)</f>
        <v>187.19285424874479</v>
      </c>
      <c r="JD22" s="214">
        <v>-111.5</v>
      </c>
      <c r="JE22" s="116">
        <f>IF(-67288.38935="","-",-111430.90994/-67288.38935*100)</f>
        <v>165.6019872319919</v>
      </c>
      <c r="JF22" s="214">
        <v>-136.5</v>
      </c>
      <c r="JG22" s="116">
        <f>IF(-109283.02979="","-",-136490.72499/-109283.02979*100)</f>
        <v>124.89654180734439</v>
      </c>
      <c r="JH22" s="214">
        <v>-131.4</v>
      </c>
      <c r="JI22" s="117">
        <f>IF(-48035.09394="","-",-131320.21766/-48035.09394*100)</f>
        <v>273.383909322693</v>
      </c>
      <c r="JJ22" s="214">
        <v>-123.1</v>
      </c>
      <c r="JK22" s="116">
        <f>IF(-60322.27586="","-",-123158.5159/-60322.27586*100)</f>
        <v>204.16755525907968</v>
      </c>
      <c r="JL22" s="214">
        <v>-143</v>
      </c>
      <c r="JM22" s="117">
        <f>IF(-67551.46413="","-",-142998.46428/-67551.46413*100)</f>
        <v>211.68817896353121</v>
      </c>
      <c r="JN22" s="214">
        <v>-108.8</v>
      </c>
      <c r="JO22" s="116">
        <f>IF(-75348.26649="","-",-108803.56167/-75348.26649*100)</f>
        <v>144.40088238053903</v>
      </c>
      <c r="JP22" s="214">
        <v>-119.8</v>
      </c>
      <c r="JQ22" s="116">
        <f>IF(-79026.44019="","-",-119815.85101/-79026.44019*100)</f>
        <v>151.61489081620243</v>
      </c>
      <c r="JR22" s="214">
        <v>-116.2</v>
      </c>
      <c r="JS22" s="117">
        <f>IF(-80529.63458="","-",-116215.79289/-80529.63458*100)</f>
        <v>144.31431794782148</v>
      </c>
      <c r="JT22" s="223">
        <v>-45.5</v>
      </c>
      <c r="JU22" s="116">
        <f>IF(-49419.49917="","-",-45531.18373/-49419.49917*100)</f>
        <v>92.13202176204895</v>
      </c>
      <c r="JV22" s="219">
        <v>-46.8</v>
      </c>
      <c r="JW22" s="157">
        <f>IF(-60624.45411="","-",-46858.73717/-60624.45411*100)</f>
        <v>77.293458321252999</v>
      </c>
      <c r="JX22" s="223">
        <f t="shared" ref="JX22:JX23" si="0">(JX10-JX16)</f>
        <v>-103.10000000000002</v>
      </c>
      <c r="JY22" s="120">
        <f>IF(-109612.26839="","-",-103124.22982/-109612.26839*100)</f>
        <v>94.08091934844775</v>
      </c>
      <c r="JZ22" s="156">
        <v>-1229.5</v>
      </c>
      <c r="KA22" s="269">
        <f>IF(-830377.57907="","-",-1229458.58627/-830377.57907*100)</f>
        <v>148.06018578282905</v>
      </c>
      <c r="KB22" s="155">
        <v>-32.799999999999997</v>
      </c>
      <c r="KC22" s="250">
        <f>IF(-43684.75288="","-",-32729.83983/-43684.75288*100)</f>
        <v>74.922799540396539</v>
      </c>
      <c r="KD22" s="155">
        <v>-91.199999999999989</v>
      </c>
      <c r="KE22" s="250">
        <f>IF(-111430.90994="","-",-91191.122/-111430.90994*100)</f>
        <v>81.836468937660015</v>
      </c>
      <c r="KF22" s="155">
        <v>-66.400000000000034</v>
      </c>
      <c r="KG22" s="250">
        <f>IF(-136490.72499="","-",-66421.20063/-136490.72499*100)</f>
        <v>48.663526869584992</v>
      </c>
      <c r="KH22" s="155">
        <v>-80.200000000000045</v>
      </c>
      <c r="KI22" s="250">
        <f>IF(-131320.21766="","-",-80211.51091/-131320.21766*100)</f>
        <v>61.080854372077653</v>
      </c>
      <c r="KJ22" s="155">
        <f>(KJ10-KJ16)</f>
        <v>-130.30000000000001</v>
      </c>
      <c r="KK22" s="250">
        <f>IF(-123158.5159="","-",-130259.71943/-123158.5159*100)</f>
        <v>105.76590540906314</v>
      </c>
      <c r="KL22" s="155">
        <f t="shared" ref="KL22" si="1">(KL10-KL16)</f>
        <v>-186.3</v>
      </c>
      <c r="KM22" s="157">
        <f>IF(-142998.46428="","-",-186334.44512/-142998.46428*100)</f>
        <v>130.30520716302618</v>
      </c>
      <c r="KN22" s="155">
        <f>(KN10-KN16)</f>
        <v>-188.7</v>
      </c>
      <c r="KO22" s="250">
        <v>173.42321456561928</v>
      </c>
      <c r="KP22" s="155">
        <f>(KP10-KP16)</f>
        <v>-182.5</v>
      </c>
      <c r="KQ22" s="250">
        <f>IF(-119815.85101="","-",-182571.39225/-119815.85101*100)</f>
        <v>152.3766602757446</v>
      </c>
      <c r="KR22" s="35" t="s">
        <v>330</v>
      </c>
    </row>
    <row r="23" spans="1:304">
      <c r="A23" s="35" t="s">
        <v>169</v>
      </c>
      <c r="B23" s="58">
        <v>-39.1</v>
      </c>
      <c r="C23" s="68">
        <v>116</v>
      </c>
      <c r="D23" s="58">
        <v>-57.4</v>
      </c>
      <c r="E23" s="68">
        <v>129.30000000000001</v>
      </c>
      <c r="F23" s="58">
        <v>-86.2</v>
      </c>
      <c r="G23" s="68">
        <v>146</v>
      </c>
      <c r="H23" s="58">
        <v>-76.900000000000006</v>
      </c>
      <c r="I23" s="68">
        <v>141.4</v>
      </c>
      <c r="J23" s="58">
        <v>-87.5</v>
      </c>
      <c r="K23" s="68">
        <v>175.2</v>
      </c>
      <c r="L23" s="58">
        <v>-80.3</v>
      </c>
      <c r="M23" s="68">
        <v>94</v>
      </c>
      <c r="N23" s="68">
        <v>-86.3</v>
      </c>
      <c r="O23" s="68">
        <v>152.9</v>
      </c>
      <c r="P23" s="58">
        <v>-89.7</v>
      </c>
      <c r="Q23" s="68">
        <v>171.5</v>
      </c>
      <c r="R23" s="58">
        <v>-107.5</v>
      </c>
      <c r="S23" s="68">
        <v>189.5</v>
      </c>
      <c r="T23" s="58">
        <v>-95.7</v>
      </c>
      <c r="U23" s="68">
        <v>142.5</v>
      </c>
      <c r="V23" s="68">
        <v>-95.7</v>
      </c>
      <c r="W23" s="68">
        <v>140.30000000000001</v>
      </c>
      <c r="X23" s="68">
        <v>-104.8</v>
      </c>
      <c r="Y23" s="68">
        <v>134.30000000000001</v>
      </c>
      <c r="Z23" s="70">
        <v>-1007.1</v>
      </c>
      <c r="AA23" s="70">
        <v>142.69999999999999</v>
      </c>
      <c r="AB23" s="57">
        <v>-64.7</v>
      </c>
      <c r="AC23" s="68">
        <v>166</v>
      </c>
      <c r="AD23" s="58">
        <v>-60.1</v>
      </c>
      <c r="AE23" s="68">
        <v>104.6</v>
      </c>
      <c r="AF23" s="58">
        <v>-105.7</v>
      </c>
      <c r="AG23" s="68">
        <v>122.5</v>
      </c>
      <c r="AH23" s="58">
        <v>-90.2</v>
      </c>
      <c r="AI23" s="68">
        <v>117.3</v>
      </c>
      <c r="AJ23" s="58">
        <v>-87.2</v>
      </c>
      <c r="AK23" s="68">
        <v>99.8</v>
      </c>
      <c r="AL23" s="68">
        <v>-83.1</v>
      </c>
      <c r="AM23" s="68">
        <v>103.5</v>
      </c>
      <c r="AN23" s="58">
        <v>-79.7</v>
      </c>
      <c r="AO23" s="68">
        <v>92.4</v>
      </c>
      <c r="AP23" s="57">
        <v>-83.3</v>
      </c>
      <c r="AQ23" s="71">
        <v>93</v>
      </c>
      <c r="AR23" s="57">
        <v>-97.9</v>
      </c>
      <c r="AS23" s="68">
        <v>91</v>
      </c>
      <c r="AT23" s="57">
        <v>-106.9</v>
      </c>
      <c r="AU23" s="68">
        <v>111.6</v>
      </c>
      <c r="AV23" s="58">
        <v>-87.3</v>
      </c>
      <c r="AW23" s="68">
        <v>91.3</v>
      </c>
      <c r="AX23" s="57">
        <v>-104</v>
      </c>
      <c r="AY23" s="68">
        <v>99.3</v>
      </c>
      <c r="AZ23" s="70">
        <v>-1050.2</v>
      </c>
      <c r="BA23" s="70">
        <v>104.3</v>
      </c>
      <c r="BB23" s="58">
        <v>-73.2</v>
      </c>
      <c r="BC23" s="68">
        <v>113</v>
      </c>
      <c r="BD23" s="58">
        <v>-61</v>
      </c>
      <c r="BE23" s="58">
        <v>101.6</v>
      </c>
      <c r="BF23" s="58">
        <v>-85</v>
      </c>
      <c r="BG23" s="68">
        <v>80.599999999999994</v>
      </c>
      <c r="BH23" s="58">
        <v>-86.6</v>
      </c>
      <c r="BI23" s="68">
        <v>96.1</v>
      </c>
      <c r="BJ23" s="58">
        <v>-76.900000000000006</v>
      </c>
      <c r="BK23" s="68">
        <v>88.5</v>
      </c>
      <c r="BL23" s="58">
        <v>-86.1</v>
      </c>
      <c r="BM23" s="69">
        <v>103.7</v>
      </c>
      <c r="BN23" s="58">
        <v>-86.4</v>
      </c>
      <c r="BO23" s="69">
        <v>108.5</v>
      </c>
      <c r="BP23" s="31">
        <v>-82</v>
      </c>
      <c r="BQ23" s="69">
        <v>98.4</v>
      </c>
      <c r="BR23" s="58">
        <v>-84.4</v>
      </c>
      <c r="BS23" s="69">
        <v>86.5</v>
      </c>
      <c r="BT23" s="77">
        <v>-79.8</v>
      </c>
      <c r="BU23" s="71">
        <v>74.599999999999994</v>
      </c>
      <c r="BV23" s="88">
        <v>-76.8</v>
      </c>
      <c r="BW23" s="71">
        <v>88</v>
      </c>
      <c r="BX23" s="71">
        <v>-102</v>
      </c>
      <c r="BY23" s="71">
        <v>98.1</v>
      </c>
      <c r="BZ23" s="73">
        <v>-980.2</v>
      </c>
      <c r="CA23" s="73">
        <v>93.4</v>
      </c>
      <c r="CB23" s="89">
        <v>-46.1</v>
      </c>
      <c r="CC23" s="74">
        <v>62.9</v>
      </c>
      <c r="CD23" s="89">
        <v>-76</v>
      </c>
      <c r="CE23" s="74">
        <v>124.9</v>
      </c>
      <c r="CF23" s="74">
        <v>-89.3</v>
      </c>
      <c r="CG23" s="74">
        <v>105.2</v>
      </c>
      <c r="CH23" s="90">
        <v>-67.3</v>
      </c>
      <c r="CI23" s="74">
        <v>77.7</v>
      </c>
      <c r="CJ23" s="90">
        <v>-79.5</v>
      </c>
      <c r="CK23" s="74">
        <v>103.6</v>
      </c>
      <c r="CL23" s="88">
        <v>-76.599999999999994</v>
      </c>
      <c r="CM23" s="74">
        <v>88.9</v>
      </c>
      <c r="CN23" s="74">
        <v>-70.8</v>
      </c>
      <c r="CO23" s="89">
        <v>81.900000000000006</v>
      </c>
      <c r="CP23" s="90">
        <v>-62.9</v>
      </c>
      <c r="CQ23" s="89">
        <v>76.599999999999994</v>
      </c>
      <c r="CR23" s="88">
        <v>-82.3</v>
      </c>
      <c r="CS23" s="89">
        <v>97.4</v>
      </c>
      <c r="CT23" s="90">
        <v>-85.7</v>
      </c>
      <c r="CU23" s="89">
        <v>107.4</v>
      </c>
      <c r="CV23" s="90">
        <v>-92.6</v>
      </c>
      <c r="CW23" s="89">
        <v>120.6</v>
      </c>
      <c r="CX23" s="89">
        <v>-113</v>
      </c>
      <c r="CY23" s="89">
        <v>110.7</v>
      </c>
      <c r="CZ23" s="91">
        <v>-942.1</v>
      </c>
      <c r="DA23" s="91">
        <v>96.1</v>
      </c>
      <c r="DB23" s="89">
        <v>-50</v>
      </c>
      <c r="DC23" s="57">
        <v>108.3</v>
      </c>
      <c r="DD23" s="58">
        <v>-57</v>
      </c>
      <c r="DE23" s="58">
        <v>75</v>
      </c>
      <c r="DF23" s="58">
        <v>-82</v>
      </c>
      <c r="DG23" s="58">
        <v>91.6</v>
      </c>
      <c r="DH23" s="58">
        <v>-54.5</v>
      </c>
      <c r="DI23" s="58">
        <v>81</v>
      </c>
      <c r="DJ23" s="57">
        <v>-70.8</v>
      </c>
      <c r="DK23" s="58">
        <v>88.9</v>
      </c>
      <c r="DL23" s="57">
        <v>-76.400000000000006</v>
      </c>
      <c r="DM23" s="75">
        <v>99.8</v>
      </c>
      <c r="DN23" s="58">
        <v>-66.900000000000006</v>
      </c>
      <c r="DO23" s="75">
        <v>94.5</v>
      </c>
      <c r="DP23" s="75">
        <v>-53.2</v>
      </c>
      <c r="DQ23" s="58">
        <v>84.7</v>
      </c>
      <c r="DR23" s="57">
        <v>-65.400000000000006</v>
      </c>
      <c r="DS23" s="58">
        <v>79.5</v>
      </c>
      <c r="DT23" s="58">
        <v>-59.1</v>
      </c>
      <c r="DU23" s="58">
        <v>69.2</v>
      </c>
      <c r="DV23" s="58">
        <v>-54.9</v>
      </c>
      <c r="DW23" s="58">
        <v>59.2</v>
      </c>
      <c r="DX23" s="57">
        <v>-67.3</v>
      </c>
      <c r="DY23" s="57">
        <v>59.7</v>
      </c>
      <c r="DZ23" s="79">
        <v>-757.5</v>
      </c>
      <c r="EA23" s="79">
        <v>80.400000000000006</v>
      </c>
      <c r="EB23" s="58">
        <v>-29.3</v>
      </c>
      <c r="EC23" s="58">
        <v>58.8</v>
      </c>
      <c r="ED23" s="57">
        <v>-54.1</v>
      </c>
      <c r="EE23" s="58">
        <v>95</v>
      </c>
      <c r="EF23" s="82">
        <v>-62.8</v>
      </c>
      <c r="EG23" s="57">
        <v>76.7</v>
      </c>
      <c r="EH23" s="57">
        <v>-53.4</v>
      </c>
      <c r="EI23" s="58">
        <v>98.3</v>
      </c>
      <c r="EJ23" s="58">
        <v>-63</v>
      </c>
      <c r="EK23" s="58">
        <v>89.3</v>
      </c>
      <c r="EL23" s="58">
        <v>-66.3</v>
      </c>
      <c r="EM23" s="58">
        <v>86.9</v>
      </c>
      <c r="EN23" s="57">
        <v>-51.1</v>
      </c>
      <c r="EO23" s="58">
        <v>76.3</v>
      </c>
      <c r="EP23" s="58">
        <v>-68.599999999999994</v>
      </c>
      <c r="EQ23" s="58">
        <v>128.69999999999999</v>
      </c>
      <c r="ER23" s="58">
        <v>-65.2</v>
      </c>
      <c r="ES23" s="58">
        <v>99.7</v>
      </c>
      <c r="ET23" s="58">
        <v>-64.8</v>
      </c>
      <c r="EU23" s="58">
        <v>109.6</v>
      </c>
      <c r="EV23" s="58">
        <v>-64.3</v>
      </c>
      <c r="EW23" s="58">
        <v>117</v>
      </c>
      <c r="EX23" s="58">
        <v>-78.099999999999994</v>
      </c>
      <c r="EY23" s="58">
        <v>115.8</v>
      </c>
      <c r="EZ23" s="78">
        <v>-720.7</v>
      </c>
      <c r="FA23" s="78">
        <v>95.1</v>
      </c>
      <c r="FB23" s="31">
        <v>-50.4</v>
      </c>
      <c r="FC23" s="31">
        <v>172.3</v>
      </c>
      <c r="FD23" s="31">
        <v>-62.4</v>
      </c>
      <c r="FE23" s="31">
        <v>115.4</v>
      </c>
      <c r="FF23" s="31">
        <v>-69.2</v>
      </c>
      <c r="FG23" s="31">
        <v>110.1</v>
      </c>
      <c r="FH23" s="31">
        <v>-63.3</v>
      </c>
      <c r="FI23" s="31">
        <v>118.6</v>
      </c>
      <c r="FJ23" s="31">
        <v>-78.8</v>
      </c>
      <c r="FK23" s="31">
        <v>125.2</v>
      </c>
      <c r="FL23" s="31">
        <v>-82.5</v>
      </c>
      <c r="FM23" s="31">
        <v>124.5</v>
      </c>
      <c r="FN23" s="31">
        <v>-68.2</v>
      </c>
      <c r="FO23" s="31">
        <v>133.5</v>
      </c>
      <c r="FP23" s="31">
        <v>-77.8</v>
      </c>
      <c r="FQ23" s="31">
        <v>113.5</v>
      </c>
      <c r="FR23" s="31">
        <v>-73.099999999999994</v>
      </c>
      <c r="FS23" s="31">
        <v>112.1</v>
      </c>
      <c r="FT23" s="31">
        <v>-84.1</v>
      </c>
      <c r="FU23" s="31">
        <v>129.69999999999999</v>
      </c>
      <c r="FV23" s="31">
        <v>-74.2</v>
      </c>
      <c r="FW23" s="31">
        <v>115.5</v>
      </c>
      <c r="FX23" s="31">
        <v>-86.8</v>
      </c>
      <c r="FY23" s="31">
        <v>111.2</v>
      </c>
      <c r="FZ23" s="78">
        <v>-870.8</v>
      </c>
      <c r="GA23" s="78">
        <v>120.8</v>
      </c>
      <c r="GB23" s="31">
        <v>-68.7</v>
      </c>
      <c r="GC23" s="31">
        <v>136.19999999999999</v>
      </c>
      <c r="GD23" s="31">
        <v>-75.2</v>
      </c>
      <c r="GE23" s="31">
        <v>120.5</v>
      </c>
      <c r="GF23" s="31">
        <v>-96.1</v>
      </c>
      <c r="GG23" s="31">
        <v>139</v>
      </c>
      <c r="GH23" s="31">
        <v>-78.3</v>
      </c>
      <c r="GI23" s="31">
        <v>123.5</v>
      </c>
      <c r="GJ23" s="28">
        <v>-98</v>
      </c>
      <c r="GK23" s="29">
        <v>124.3</v>
      </c>
      <c r="GL23" s="28">
        <v>-79.3</v>
      </c>
      <c r="GM23" s="29">
        <v>96.2</v>
      </c>
      <c r="GN23" s="28">
        <v>-86.2</v>
      </c>
      <c r="GO23" s="29">
        <v>126.4</v>
      </c>
      <c r="GP23" s="117">
        <v>-97</v>
      </c>
      <c r="GQ23" s="120">
        <v>124.7</v>
      </c>
      <c r="GR23" s="28">
        <v>-88.6</v>
      </c>
      <c r="GS23" s="29">
        <v>121.2</v>
      </c>
      <c r="GT23" s="28">
        <v>-100.1</v>
      </c>
      <c r="GU23" s="120">
        <v>119.1</v>
      </c>
      <c r="GV23" s="28">
        <v>-85.3</v>
      </c>
      <c r="GW23" s="117">
        <v>114.9</v>
      </c>
      <c r="GX23" s="28">
        <v>-78.900000000000006</v>
      </c>
      <c r="GY23" s="130">
        <v>90.9</v>
      </c>
      <c r="GZ23" s="122">
        <v>-1031.8000000000002</v>
      </c>
      <c r="HA23" s="125">
        <v>118.5</v>
      </c>
      <c r="HB23" s="140">
        <v>-49.1</v>
      </c>
      <c r="HC23" s="117">
        <f>IF(-68743.34088="","-",-49122.95173/-68743.34088*100)</f>
        <v>71.458487616640838</v>
      </c>
      <c r="HD23" s="140">
        <v>-65.099999999999994</v>
      </c>
      <c r="HE23" s="117">
        <f>IF(-75215.17058="","-",-64968.68272/-75215.17058*100)</f>
        <v>86.377099485400109</v>
      </c>
      <c r="HF23" s="140">
        <v>-70.900000000000006</v>
      </c>
      <c r="HG23" s="117">
        <f>IF(-96162.1251="","-",-70856.71823/-96162.1251*100)</f>
        <v>73.684642634837104</v>
      </c>
      <c r="HH23" s="140">
        <v>-72.900000000000006</v>
      </c>
      <c r="HI23" s="117">
        <f>IF(-78229.275="","-",-72928.06877/-78229.275*100)</f>
        <v>93.223500754672727</v>
      </c>
      <c r="HJ23" s="140">
        <v>-93.5</v>
      </c>
      <c r="HK23" s="117">
        <f>IF(-97963.42227="","-",-93537.90914/-97963.42227*100)</f>
        <v>95.482484148213302</v>
      </c>
      <c r="HL23" s="140">
        <v>-78.8</v>
      </c>
      <c r="HM23" s="117">
        <f>IF(-79308.57679="","-",-78829.42844/-79308.57679*100)</f>
        <v>99.395842960000749</v>
      </c>
      <c r="HN23" s="140">
        <v>-91.6</v>
      </c>
      <c r="HO23" s="117">
        <f>IF(-86212.09604="","-",-91604.65455/-86212.09604*100)</f>
        <v>106.25499060769616</v>
      </c>
      <c r="HP23" s="140">
        <v>-92.9</v>
      </c>
      <c r="HQ23" s="117">
        <f>IF(-97018.75686="","-",-92897.56943/-97018.75686*100)</f>
        <v>95.752174565638953</v>
      </c>
      <c r="HR23" s="140">
        <v>-96.4</v>
      </c>
      <c r="HS23" s="117">
        <f>IF(-88577.83328="","-",-96349.75914/-88577.83328*100)</f>
        <v>108.77412053581448</v>
      </c>
      <c r="HT23" s="140">
        <v>-107.5</v>
      </c>
      <c r="HU23" s="117">
        <f>IF(-100116.58741="","-",-107453.08418/-100116.58741*100)</f>
        <v>107.32795329904266</v>
      </c>
      <c r="HV23" s="140">
        <v>-91.5</v>
      </c>
      <c r="HW23" s="117">
        <f>IF(-85318.91506="","-",-91606.51968/-85318.91506*100)</f>
        <v>107.36953185067846</v>
      </c>
      <c r="HX23" s="140">
        <v>-111.4</v>
      </c>
      <c r="HY23" s="117">
        <f>IF(-78924.7642="","-",-111457.13723/-78924.7642*100)</f>
        <v>141.21947447009288</v>
      </c>
      <c r="HZ23" s="141">
        <v>-1021.6</v>
      </c>
      <c r="IA23" s="125">
        <f>IF(-1031790.86347="","-",-1021612.48324/-1031790.86347*100)</f>
        <v>99.013522934699267</v>
      </c>
      <c r="IB23" s="155">
        <v>-64</v>
      </c>
      <c r="IC23" s="116">
        <f>IF(-49044.40879="","-",-64035.70411/-49044.40879*100)</f>
        <v>130.56677751829005</v>
      </c>
      <c r="ID23" s="155">
        <v>-83.9</v>
      </c>
      <c r="IE23" s="116">
        <f>IF(-66368.23811="","-",-83891.62637/-66368.23811*100)</f>
        <v>126.403274757658</v>
      </c>
      <c r="IF23" s="155">
        <v>-95.9</v>
      </c>
      <c r="IG23" s="117">
        <f>IF(-72151.92842="","-",-95853.5491/-72151.92842*100)</f>
        <v>132.84960111118815</v>
      </c>
      <c r="IH23" s="155">
        <v>-51.2</v>
      </c>
      <c r="II23" s="117">
        <f>IF(-73096.15781="","-",-51144.8719/-73096.15781*100)</f>
        <v>69.969302672435489</v>
      </c>
      <c r="IJ23" s="28">
        <v>-68.099999999999994</v>
      </c>
      <c r="IK23" s="117">
        <f>IF(-92825.38346="","-",-68086.9722/-92825.38346*100)</f>
        <v>73.34951891616997</v>
      </c>
      <c r="IL23" s="116">
        <v>-92.8</v>
      </c>
      <c r="IM23" s="117">
        <f>IF(-78156.78731="","-",-92807.16812/-78156.78731*100)</f>
        <v>118.74486057351734</v>
      </c>
      <c r="IN23" s="28">
        <v>-108.9</v>
      </c>
      <c r="IO23" s="117">
        <f>IF(-91143.33893="","-",-108945.60756/-91143.33893*100)</f>
        <v>119.53216640842237</v>
      </c>
      <c r="IP23" s="28">
        <v>-107.7</v>
      </c>
      <c r="IQ23" s="117">
        <f>IF(-94294.43337="","-",-107684.47106/-94294.43337*100)</f>
        <v>114.20024195644625</v>
      </c>
      <c r="IR23" s="157">
        <v>-130</v>
      </c>
      <c r="IS23" s="116">
        <f>IF(-98037.49949="","-",-130034.49246/-98037.49949*100)</f>
        <v>132.63750415550302</v>
      </c>
      <c r="IT23" s="157">
        <v>-115.1</v>
      </c>
      <c r="IU23" s="117">
        <f>IF(-108275.0246="","-",-115117.98899/-108275.0246*100)</f>
        <v>106.3199841471105</v>
      </c>
      <c r="IV23" s="157">
        <v>-118.6</v>
      </c>
      <c r="IW23" s="117">
        <f>IF(-93138.94559="","-",-118593.51189/-93138.94559*100)</f>
        <v>127.32966981616008</v>
      </c>
      <c r="IX23" s="157">
        <v>-141.5</v>
      </c>
      <c r="IY23" s="119">
        <f>IF(-113878.09311="","-",-141549.01985/-113878.09311*100)</f>
        <v>124.29872680891434</v>
      </c>
      <c r="IZ23" s="159">
        <v>-1177.7</v>
      </c>
      <c r="JA23" s="142">
        <f>IF(-1030410.23899="","-",-1177744.98361/-1030410.23899*100)</f>
        <v>114.29864912487831</v>
      </c>
      <c r="JB23" s="214">
        <v>-86.2</v>
      </c>
      <c r="JC23" s="116">
        <f>IF(-64035.70411="","-",-86197.26964/-64035.70411*100)</f>
        <v>134.60813906556106</v>
      </c>
      <c r="JD23" s="214">
        <v>-101.4</v>
      </c>
      <c r="JE23" s="116">
        <f>IF(-83891.62637="","-",-101421.83386/-83891.62637*100)</f>
        <v>120.89625418952288</v>
      </c>
      <c r="JF23" s="231">
        <v>-138.30000000000001</v>
      </c>
      <c r="JG23" s="116">
        <f>IF(-95853.5491="","-",-138314.56267/-95853.5491*100)</f>
        <v>144.29780010096675</v>
      </c>
      <c r="JH23" s="219">
        <v>-114.9</v>
      </c>
      <c r="JI23" s="117">
        <f>IF(-51144.8719="","-",-114950.5408/-51144.8719*100)</f>
        <v>224.75477311734159</v>
      </c>
      <c r="JJ23" s="214">
        <v>-146</v>
      </c>
      <c r="JK23" s="116">
        <f>IF(-68086.9722="","-",-145970.82571/-68086.9722*100)</f>
        <v>214.38877511137147</v>
      </c>
      <c r="JL23" s="214">
        <v>-124.5</v>
      </c>
      <c r="JM23" s="117">
        <f>IF(-92807.16812="","-",-124490.46428/-92807.16812*100)</f>
        <v>134.13884595533975</v>
      </c>
      <c r="JN23" s="214">
        <v>-104.4</v>
      </c>
      <c r="JO23" s="116">
        <f>IF(-108945.60756="","-",-104389.59188/-108945.60756*100)</f>
        <v>95.818082268722165</v>
      </c>
      <c r="JP23" s="215">
        <v>-92.3</v>
      </c>
      <c r="JQ23" s="116">
        <f>IF(-107684.47106="","-",-92331.67783/-107684.47106*100)</f>
        <v>85.742797379349454</v>
      </c>
      <c r="JR23" s="214">
        <v>-118.1</v>
      </c>
      <c r="JS23" s="117">
        <f>IF(-130034.49246="","-",-118113.91604/-130034.49246*100)</f>
        <v>90.832758144023302</v>
      </c>
      <c r="JT23" s="223">
        <v>-96</v>
      </c>
      <c r="JU23" s="116">
        <f>IF(-115117.98899="","-",-95939.43327/-115117.98899*100)</f>
        <v>83.340087949533242</v>
      </c>
      <c r="JV23" s="155">
        <v>-105.69999999999999</v>
      </c>
      <c r="JW23" s="250">
        <f>IF(-118593.51189="","-",-105718.43764/-118593.51189*100)</f>
        <v>89.143525607082026</v>
      </c>
      <c r="JX23" s="223">
        <f t="shared" si="0"/>
        <v>-135.5</v>
      </c>
      <c r="JY23" s="120">
        <f>IF(-141549.01985="","-",-135564.94296/-141549.01985*100)</f>
        <v>95.77243495126892</v>
      </c>
      <c r="JZ23" s="156">
        <v>-1363.4</v>
      </c>
      <c r="KA23" s="269">
        <f>IF(-1177744.98361="","-",-1363403.49658/-1177744.98361*100)</f>
        <v>115.7638975800112</v>
      </c>
      <c r="KB23" s="155">
        <v>-65.5</v>
      </c>
      <c r="KC23" s="250">
        <f>IF(-86197.26964="","-",-65479.19188/-86197.26964*100)</f>
        <v>75.964345684581019</v>
      </c>
      <c r="KD23" s="155">
        <v>-77.200000000000017</v>
      </c>
      <c r="KE23" s="250">
        <f>IF(-101421.83386="","-",-77215.84938/-101421.83386*100)</f>
        <v>76.133359495931316</v>
      </c>
      <c r="KF23" s="155">
        <v>-116</v>
      </c>
      <c r="KG23" s="250">
        <f>IF(-138314.56267="","-",-115933.33578/-138314.56267*100)</f>
        <v>83.81860415999823</v>
      </c>
      <c r="KH23" s="155">
        <v>-163.1</v>
      </c>
      <c r="KI23" s="250">
        <f>IF(-114950.5408="","-",-163068.5954/-114950.5408*100)</f>
        <v>141.85978966703564</v>
      </c>
      <c r="KJ23" s="155">
        <f>(KJ11-KJ17)</f>
        <v>-165.7</v>
      </c>
      <c r="KK23" s="250">
        <f>IF(-145970.82571="","-",-165700.8339/-145970.82571*100)</f>
        <v>113.51640514057073</v>
      </c>
      <c r="KL23" s="155">
        <f>(KL11-KL17)</f>
        <v>-140.9</v>
      </c>
      <c r="KM23" s="157">
        <f>IF(-124490.46428="","-",-140805.18121/-124490.46428*100)</f>
        <v>113.10519405992854</v>
      </c>
      <c r="KN23" s="155">
        <f>(KN11-KN17)</f>
        <v>-173.5</v>
      </c>
      <c r="KO23" s="250">
        <v>166.26242146775982</v>
      </c>
      <c r="KP23" s="155">
        <f>(KP11-KP17)</f>
        <v>-200.7</v>
      </c>
      <c r="KQ23" s="250">
        <f>IF(-92331.67783="","-",-200688.30913/-92331.67783*100)</f>
        <v>217.35585645860888</v>
      </c>
      <c r="KR23" s="35" t="s">
        <v>169</v>
      </c>
    </row>
    <row r="24" spans="1:304" ht="15.75" customHeight="1">
      <c r="A24" s="36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70"/>
      <c r="AA24" s="70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70"/>
      <c r="BA24" s="70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  <c r="CA24" s="70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70"/>
      <c r="DA24" s="70"/>
      <c r="DB24" s="69"/>
      <c r="DC24" s="56"/>
      <c r="DD24" s="57"/>
      <c r="DE24" s="57"/>
      <c r="DF24" s="56"/>
      <c r="DG24" s="57"/>
      <c r="DH24" s="58"/>
      <c r="DI24" s="61"/>
      <c r="DJ24" s="57"/>
      <c r="DK24" s="57"/>
      <c r="DL24" s="75"/>
      <c r="DM24" s="75"/>
      <c r="DN24" s="47"/>
      <c r="DO24" s="75"/>
      <c r="DP24" s="75"/>
      <c r="DQ24" s="57"/>
      <c r="DR24" s="56"/>
      <c r="DS24" s="56"/>
      <c r="DT24" s="60"/>
      <c r="DU24" s="56"/>
      <c r="DV24" s="61"/>
      <c r="DW24" s="57"/>
      <c r="DX24" s="56"/>
      <c r="DY24" s="56"/>
      <c r="DZ24" s="62"/>
      <c r="EA24" s="62"/>
      <c r="EB24" s="60"/>
      <c r="EC24" s="56"/>
      <c r="ED24" s="57"/>
      <c r="EE24" s="57"/>
      <c r="EF24" s="61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94"/>
      <c r="FA24" s="94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4"/>
      <c r="GA24" s="94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4"/>
      <c r="HA24" s="94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6"/>
      <c r="IA24" s="123"/>
      <c r="IB24" s="26"/>
      <c r="IC24" s="26"/>
      <c r="ID24" s="26"/>
      <c r="IE24" s="26"/>
      <c r="IF24" s="26"/>
      <c r="IG24" s="26"/>
      <c r="IH24" s="139"/>
      <c r="II24" s="180"/>
      <c r="IJ24" s="157"/>
      <c r="IK24" s="180"/>
      <c r="IL24" s="180"/>
      <c r="IM24" s="180"/>
      <c r="IN24" s="180"/>
      <c r="IO24" s="180"/>
      <c r="IP24" s="180"/>
      <c r="IQ24" s="180"/>
      <c r="IR24" s="139"/>
      <c r="IS24" s="180"/>
      <c r="IT24" s="139"/>
      <c r="IU24" s="180"/>
      <c r="IV24" s="139"/>
      <c r="IW24" s="180"/>
      <c r="IX24" s="139"/>
      <c r="IY24" s="180"/>
      <c r="IZ24" s="152"/>
      <c r="JA24" s="175"/>
      <c r="JB24" s="232"/>
      <c r="JC24" s="232"/>
      <c r="JD24" s="232"/>
      <c r="JE24" s="232"/>
      <c r="JF24" s="232"/>
      <c r="JG24" s="232"/>
      <c r="JH24" s="230"/>
      <c r="JI24" s="233"/>
      <c r="JJ24" s="204"/>
      <c r="JK24" s="204"/>
      <c r="JL24" s="204"/>
      <c r="JM24" s="204"/>
      <c r="JN24" s="204"/>
      <c r="JO24" s="204"/>
      <c r="JP24" s="204"/>
      <c r="JQ24" s="204"/>
      <c r="JR24" s="233"/>
      <c r="JS24" s="204"/>
      <c r="JT24" s="233"/>
      <c r="JU24" s="204"/>
      <c r="JV24" s="233"/>
      <c r="JW24" s="204"/>
      <c r="JX24" s="233"/>
      <c r="JY24" s="233"/>
      <c r="JZ24" s="236"/>
      <c r="KA24" s="235"/>
      <c r="KB24" s="233"/>
      <c r="KC24" s="233"/>
      <c r="KD24" s="233"/>
      <c r="KE24" s="233"/>
      <c r="KF24" s="233"/>
      <c r="KG24" s="233"/>
      <c r="KH24" s="233"/>
      <c r="KI24" s="233"/>
      <c r="KJ24" s="233"/>
      <c r="KK24" s="233"/>
      <c r="KL24" s="233"/>
      <c r="KM24" s="233"/>
      <c r="KN24" s="233"/>
      <c r="KO24" s="233"/>
      <c r="KP24" s="233"/>
      <c r="KQ24" s="233"/>
      <c r="KR24" s="36"/>
    </row>
    <row r="25" spans="1:304" ht="18.75" customHeight="1">
      <c r="A25" s="294" t="s">
        <v>338</v>
      </c>
      <c r="B25" s="284">
        <v>47.2</v>
      </c>
      <c r="C25" s="283"/>
      <c r="D25" s="284">
        <v>45.2</v>
      </c>
      <c r="E25" s="283"/>
      <c r="F25" s="284">
        <v>38.9</v>
      </c>
      <c r="G25" s="283"/>
      <c r="H25" s="284">
        <v>41.8</v>
      </c>
      <c r="I25" s="283"/>
      <c r="J25" s="284">
        <v>39.700000000000003</v>
      </c>
      <c r="K25" s="283"/>
      <c r="L25" s="284">
        <v>41.3</v>
      </c>
      <c r="M25" s="283"/>
      <c r="N25" s="284">
        <v>43.6</v>
      </c>
      <c r="O25" s="283"/>
      <c r="P25" s="284">
        <v>44.2</v>
      </c>
      <c r="Q25" s="283"/>
      <c r="R25" s="284">
        <v>37.700000000000003</v>
      </c>
      <c r="S25" s="283"/>
      <c r="T25" s="284">
        <v>45.1</v>
      </c>
      <c r="U25" s="283"/>
      <c r="V25" s="284">
        <v>49</v>
      </c>
      <c r="W25" s="283"/>
      <c r="X25" s="284">
        <v>40.799999999999997</v>
      </c>
      <c r="Y25" s="283"/>
      <c r="Z25" s="288">
        <v>42.7</v>
      </c>
      <c r="AA25" s="282"/>
      <c r="AB25" s="284">
        <v>43.5</v>
      </c>
      <c r="AC25" s="283"/>
      <c r="AD25" s="284">
        <v>40.6</v>
      </c>
      <c r="AE25" s="283"/>
      <c r="AF25" s="284">
        <v>41.9</v>
      </c>
      <c r="AG25" s="283"/>
      <c r="AH25" s="284">
        <v>42.6</v>
      </c>
      <c r="AI25" s="283"/>
      <c r="AJ25" s="284">
        <v>41.2</v>
      </c>
      <c r="AK25" s="283"/>
      <c r="AL25" s="284">
        <v>44.5</v>
      </c>
      <c r="AM25" s="283"/>
      <c r="AN25" s="284">
        <v>39.1</v>
      </c>
      <c r="AO25" s="283"/>
      <c r="AP25" s="290">
        <v>38.5</v>
      </c>
      <c r="AQ25" s="283"/>
      <c r="AR25" s="284">
        <v>41.6</v>
      </c>
      <c r="AS25" s="283"/>
      <c r="AT25" s="284">
        <v>42.3</v>
      </c>
      <c r="AU25" s="283"/>
      <c r="AV25" s="284">
        <v>45.2</v>
      </c>
      <c r="AW25" s="283"/>
      <c r="AX25" s="284">
        <v>37.1</v>
      </c>
      <c r="AY25" s="283"/>
      <c r="AZ25" s="288">
        <v>41.5</v>
      </c>
      <c r="BA25" s="282"/>
      <c r="BB25" s="284">
        <v>47.5</v>
      </c>
      <c r="BC25" s="283"/>
      <c r="BD25" s="284">
        <v>49.4</v>
      </c>
      <c r="BE25" s="283"/>
      <c r="BF25" s="284">
        <v>45.8</v>
      </c>
      <c r="BG25" s="283"/>
      <c r="BH25" s="284">
        <v>39.700000000000003</v>
      </c>
      <c r="BI25" s="283"/>
      <c r="BJ25" s="284">
        <v>41</v>
      </c>
      <c r="BK25" s="283"/>
      <c r="BL25" s="280">
        <v>40.700000000000003</v>
      </c>
      <c r="BM25" s="287"/>
      <c r="BN25" s="280">
        <v>43</v>
      </c>
      <c r="BO25" s="287"/>
      <c r="BP25" s="280">
        <v>45.7</v>
      </c>
      <c r="BQ25" s="287"/>
      <c r="BR25" s="280">
        <v>43.2</v>
      </c>
      <c r="BS25" s="287"/>
      <c r="BT25" s="297">
        <v>47.4</v>
      </c>
      <c r="BU25" s="287"/>
      <c r="BV25" s="280">
        <v>52.4</v>
      </c>
      <c r="BW25" s="287"/>
      <c r="BX25" s="280">
        <v>36.9</v>
      </c>
      <c r="BY25" s="287"/>
      <c r="BZ25" s="288">
        <v>44.2</v>
      </c>
      <c r="CA25" s="282"/>
      <c r="CB25" s="280">
        <v>53.4</v>
      </c>
      <c r="CC25" s="287"/>
      <c r="CD25" s="280">
        <v>45.3</v>
      </c>
      <c r="CE25" s="287"/>
      <c r="CF25" s="280">
        <v>44.3</v>
      </c>
      <c r="CG25" s="287"/>
      <c r="CH25" s="280">
        <v>43.9</v>
      </c>
      <c r="CI25" s="287"/>
      <c r="CJ25" s="280">
        <v>46.5</v>
      </c>
      <c r="CK25" s="287"/>
      <c r="CL25" s="280">
        <v>44.9</v>
      </c>
      <c r="CM25" s="287"/>
      <c r="CN25" s="280">
        <v>45.7</v>
      </c>
      <c r="CO25" s="287"/>
      <c r="CP25" s="280">
        <v>42.7</v>
      </c>
      <c r="CQ25" s="287"/>
      <c r="CR25" s="280">
        <v>40.299999999999997</v>
      </c>
      <c r="CS25" s="287"/>
      <c r="CT25" s="280">
        <v>44.1</v>
      </c>
      <c r="CU25" s="287"/>
      <c r="CV25" s="280">
        <v>44.9</v>
      </c>
      <c r="CW25" s="287"/>
      <c r="CX25" s="280">
        <v>35.9</v>
      </c>
      <c r="CY25" s="287"/>
      <c r="CZ25" s="288">
        <v>44</v>
      </c>
      <c r="DA25" s="282"/>
      <c r="DB25" s="280">
        <v>54.8</v>
      </c>
      <c r="DC25" s="300"/>
      <c r="DD25" s="289">
        <v>54.4</v>
      </c>
      <c r="DE25" s="299"/>
      <c r="DF25" s="289">
        <v>43.4</v>
      </c>
      <c r="DG25" s="299"/>
      <c r="DH25" s="298">
        <v>45.9</v>
      </c>
      <c r="DI25" s="302"/>
      <c r="DJ25" s="289">
        <v>52.7</v>
      </c>
      <c r="DK25" s="299"/>
      <c r="DL25" s="301">
        <v>51.4</v>
      </c>
      <c r="DM25" s="301"/>
      <c r="DN25" s="301">
        <v>48.4</v>
      </c>
      <c r="DO25" s="301"/>
      <c r="DP25" s="284">
        <v>42.5</v>
      </c>
      <c r="DQ25" s="300"/>
      <c r="DR25" s="289">
        <v>48.4</v>
      </c>
      <c r="DS25" s="300"/>
      <c r="DT25" s="298">
        <v>55.9</v>
      </c>
      <c r="DU25" s="300"/>
      <c r="DV25" s="298">
        <v>50</v>
      </c>
      <c r="DW25" s="299"/>
      <c r="DX25" s="289">
        <v>46.4</v>
      </c>
      <c r="DY25" s="300"/>
      <c r="DZ25" s="305">
        <v>49.3</v>
      </c>
      <c r="EA25" s="304"/>
      <c r="EB25" s="303">
        <v>56.3</v>
      </c>
      <c r="EC25" s="300"/>
      <c r="ED25" s="289">
        <v>48.2</v>
      </c>
      <c r="EE25" s="299"/>
      <c r="EF25" s="298">
        <v>44</v>
      </c>
      <c r="EG25" s="300"/>
      <c r="EH25" s="289">
        <v>50.3</v>
      </c>
      <c r="EI25" s="300"/>
      <c r="EJ25" s="289">
        <v>46.6</v>
      </c>
      <c r="EK25" s="300"/>
      <c r="EL25" s="289">
        <v>48.5</v>
      </c>
      <c r="EM25" s="300"/>
      <c r="EN25" s="289">
        <v>52.8</v>
      </c>
      <c r="EO25" s="300"/>
      <c r="EP25" s="289">
        <v>47.9</v>
      </c>
      <c r="EQ25" s="300"/>
      <c r="ER25" s="289">
        <v>53.5</v>
      </c>
      <c r="ES25" s="300"/>
      <c r="ET25" s="289">
        <v>52.8</v>
      </c>
      <c r="EU25" s="300"/>
      <c r="EV25" s="289">
        <v>61.6</v>
      </c>
      <c r="EW25" s="300"/>
      <c r="EX25" s="289">
        <v>49.6</v>
      </c>
      <c r="EY25" s="300"/>
      <c r="EZ25" s="309">
        <v>50.9</v>
      </c>
      <c r="FA25" s="308"/>
      <c r="FB25" s="307">
        <v>52.3</v>
      </c>
      <c r="FC25" s="306"/>
      <c r="FD25" s="303">
        <v>53.1</v>
      </c>
      <c r="FE25" s="306"/>
      <c r="FF25" s="303">
        <v>49.2</v>
      </c>
      <c r="FG25" s="306"/>
      <c r="FH25" s="303">
        <v>42.7</v>
      </c>
      <c r="FI25" s="306"/>
      <c r="FJ25" s="303">
        <v>43.6</v>
      </c>
      <c r="FK25" s="306"/>
      <c r="FL25" s="307">
        <v>44</v>
      </c>
      <c r="FM25" s="306"/>
      <c r="FN25" s="303">
        <v>48.3</v>
      </c>
      <c r="FO25" s="306"/>
      <c r="FP25" s="303">
        <v>48.4</v>
      </c>
      <c r="FQ25" s="306"/>
      <c r="FR25" s="307">
        <v>52</v>
      </c>
      <c r="FS25" s="306"/>
      <c r="FT25" s="303">
        <v>57.6</v>
      </c>
      <c r="FU25" s="306"/>
      <c r="FV25" s="303">
        <v>59.8</v>
      </c>
      <c r="FW25" s="306"/>
      <c r="FX25" s="303">
        <v>49.4</v>
      </c>
      <c r="FY25" s="300"/>
      <c r="FZ25" s="309">
        <v>50.2</v>
      </c>
      <c r="GA25" s="308"/>
      <c r="GB25" s="307">
        <v>58.9</v>
      </c>
      <c r="GC25" s="306"/>
      <c r="GD25" s="307">
        <v>50.4</v>
      </c>
      <c r="GE25" s="306"/>
      <c r="GF25" s="303">
        <v>46.2</v>
      </c>
      <c r="GG25" s="306"/>
      <c r="GH25" s="307">
        <v>44.9</v>
      </c>
      <c r="GI25" s="300"/>
      <c r="GJ25" s="303">
        <v>44.1</v>
      </c>
      <c r="GK25" s="310"/>
      <c r="GL25" s="303">
        <v>46.7</v>
      </c>
      <c r="GM25" s="310"/>
      <c r="GN25" s="303">
        <v>44.8</v>
      </c>
      <c r="GO25" s="310"/>
      <c r="GP25" s="303">
        <v>45.5</v>
      </c>
      <c r="GQ25" s="310"/>
      <c r="GR25" s="303">
        <v>43.7</v>
      </c>
      <c r="GS25" s="310"/>
      <c r="GT25" s="303">
        <v>47.9</v>
      </c>
      <c r="GU25" s="310"/>
      <c r="GV25" s="303">
        <v>51.4</v>
      </c>
      <c r="GW25" s="310"/>
      <c r="GX25" s="303">
        <v>42.1</v>
      </c>
      <c r="GY25" s="310"/>
      <c r="GZ25" s="330">
        <v>47</v>
      </c>
      <c r="HA25" s="334"/>
      <c r="HB25" s="333">
        <v>62.9</v>
      </c>
      <c r="HC25" s="335"/>
      <c r="HD25" s="333">
        <v>52.6</v>
      </c>
      <c r="HE25" s="335"/>
      <c r="HF25" s="333">
        <v>48.2</v>
      </c>
      <c r="HG25" s="335"/>
      <c r="HH25" s="333">
        <v>41.8</v>
      </c>
      <c r="HI25" s="335"/>
      <c r="HJ25" s="333">
        <v>43.7</v>
      </c>
      <c r="HK25" s="335"/>
      <c r="HL25" s="333">
        <v>45.4</v>
      </c>
      <c r="HM25" s="335"/>
      <c r="HN25" s="333">
        <v>44.1</v>
      </c>
      <c r="HO25" s="335"/>
      <c r="HP25" s="333">
        <v>44.3</v>
      </c>
      <c r="HQ25" s="335"/>
      <c r="HR25" s="333">
        <v>47.6</v>
      </c>
      <c r="HS25" s="335"/>
      <c r="HT25" s="333">
        <v>51.1</v>
      </c>
      <c r="HU25" s="335"/>
      <c r="HV25" s="333">
        <v>52.9</v>
      </c>
      <c r="HW25" s="335"/>
      <c r="HX25" s="333">
        <v>40.4</v>
      </c>
      <c r="HY25" s="335"/>
      <c r="HZ25" s="345">
        <v>47.6</v>
      </c>
      <c r="IA25" s="346"/>
      <c r="IB25" s="243">
        <v>57.781423329068978</v>
      </c>
      <c r="IC25" s="65"/>
      <c r="ID25" s="243">
        <v>50.604786805836419</v>
      </c>
      <c r="IE25" s="242"/>
      <c r="IF25" s="243">
        <v>42</v>
      </c>
      <c r="IG25" s="242"/>
      <c r="IH25" s="243">
        <v>52.5</v>
      </c>
      <c r="II25" s="242"/>
      <c r="IJ25" s="243">
        <v>47.3</v>
      </c>
      <c r="IK25" s="242"/>
      <c r="IL25" s="243">
        <v>45.843003853583717</v>
      </c>
      <c r="IM25" s="242"/>
      <c r="IN25" s="243">
        <v>38.484763357812632</v>
      </c>
      <c r="IO25" s="242"/>
      <c r="IP25" s="243">
        <v>37.799792611777129</v>
      </c>
      <c r="IQ25" s="242"/>
      <c r="IR25" s="243">
        <v>41.755545860765366</v>
      </c>
      <c r="IS25" s="180"/>
      <c r="IT25" s="243">
        <v>50.519282215127895</v>
      </c>
      <c r="IU25" s="243"/>
      <c r="IV25" s="243">
        <v>50.11312998338682</v>
      </c>
      <c r="IW25" s="243"/>
      <c r="IX25" s="243">
        <v>38.470204319621239</v>
      </c>
      <c r="IY25" s="243"/>
      <c r="IZ25" s="347">
        <v>45.552278624086561</v>
      </c>
      <c r="JA25" s="345"/>
      <c r="JB25" s="333">
        <v>49.687715611663222</v>
      </c>
      <c r="JC25" s="289"/>
      <c r="JD25" s="298">
        <v>43.540123298693842</v>
      </c>
      <c r="JE25" s="289"/>
      <c r="JF25" s="298">
        <v>41.153056623670494</v>
      </c>
      <c r="JG25" s="289"/>
      <c r="JH25" s="298">
        <v>38.817703654966365</v>
      </c>
      <c r="JI25" s="298"/>
      <c r="JJ25" s="298">
        <v>35.800342316945951</v>
      </c>
      <c r="JK25" s="289"/>
      <c r="JL25" s="298">
        <v>38.465228151564887</v>
      </c>
      <c r="JM25" s="289"/>
      <c r="JN25" s="298">
        <v>42.833397645496028</v>
      </c>
      <c r="JO25" s="289"/>
      <c r="JP25" s="298">
        <v>41.089951860025025</v>
      </c>
      <c r="JQ25" s="289"/>
      <c r="JR25" s="298">
        <v>43.935101329946484</v>
      </c>
      <c r="JS25" s="281"/>
      <c r="JT25" s="333">
        <v>54.454154892337229</v>
      </c>
      <c r="JU25" s="281"/>
      <c r="JV25" s="333">
        <v>51.872546021272761</v>
      </c>
      <c r="JW25" s="281"/>
      <c r="JX25" s="333">
        <v>43.099308652163728</v>
      </c>
      <c r="JY25" s="281"/>
      <c r="JZ25" s="345">
        <v>43.815319722377879</v>
      </c>
      <c r="KA25" s="348"/>
      <c r="KB25" s="266">
        <v>53.140258878971281</v>
      </c>
      <c r="KC25" s="233"/>
      <c r="KD25" s="266">
        <v>50.28660881552721</v>
      </c>
      <c r="KE25" s="233"/>
      <c r="KF25" s="266">
        <v>52.897741995879443</v>
      </c>
      <c r="KG25" s="233"/>
      <c r="KH25" s="266">
        <v>51.437735383564927</v>
      </c>
      <c r="KI25" s="233"/>
      <c r="KJ25" s="266">
        <v>53.841340908645122</v>
      </c>
      <c r="KK25" s="233"/>
      <c r="KL25" s="266">
        <v>54.20394277000873</v>
      </c>
      <c r="KM25" s="204"/>
      <c r="KN25" s="266">
        <v>44.437266296299349</v>
      </c>
      <c r="KO25" s="204"/>
      <c r="KP25" s="266">
        <v>42.233764967839953</v>
      </c>
      <c r="KQ25" s="204"/>
      <c r="KR25" s="294" t="s">
        <v>338</v>
      </c>
    </row>
    <row r="26" spans="1:304" ht="13.5" customHeight="1">
      <c r="A26" s="295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1"/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1"/>
      <c r="FK26" s="281"/>
      <c r="FL26" s="281"/>
      <c r="FM26" s="281"/>
      <c r="FN26" s="281"/>
      <c r="FO26" s="281"/>
      <c r="FP26" s="281"/>
      <c r="FQ26" s="281"/>
      <c r="FR26" s="281"/>
      <c r="FS26" s="281"/>
      <c r="FT26" s="281"/>
      <c r="FU26" s="281"/>
      <c r="FV26" s="281"/>
      <c r="FW26" s="281"/>
      <c r="FX26" s="281"/>
      <c r="FY26" s="281"/>
      <c r="FZ26" s="281"/>
      <c r="GA26" s="281"/>
      <c r="GB26" s="281"/>
      <c r="GC26" s="281"/>
      <c r="GD26" s="281"/>
      <c r="GE26" s="281"/>
      <c r="GF26" s="281"/>
      <c r="GG26" s="281"/>
      <c r="GH26" s="281"/>
      <c r="GI26" s="281"/>
      <c r="GJ26" s="281"/>
      <c r="GK26" s="281"/>
      <c r="GL26" s="281"/>
      <c r="GM26" s="281"/>
      <c r="GN26" s="281"/>
      <c r="GO26" s="281"/>
      <c r="GP26" s="281"/>
      <c r="GQ26" s="281"/>
      <c r="GR26" s="281"/>
      <c r="GS26" s="281"/>
      <c r="GT26" s="281"/>
      <c r="GU26" s="281"/>
      <c r="GV26" s="281"/>
      <c r="GW26" s="281"/>
      <c r="GX26" s="281"/>
      <c r="GY26" s="281"/>
      <c r="GZ26" s="281"/>
      <c r="HA26" s="281"/>
      <c r="HB26" s="281"/>
      <c r="HC26" s="281"/>
      <c r="HD26" s="281"/>
      <c r="HE26" s="281"/>
      <c r="HF26" s="281"/>
      <c r="HG26" s="281"/>
      <c r="HH26" s="281"/>
      <c r="HI26" s="281"/>
      <c r="HJ26" s="281"/>
      <c r="HK26" s="281"/>
      <c r="HL26" s="281"/>
      <c r="HM26" s="281"/>
      <c r="HN26" s="281"/>
      <c r="HO26" s="281"/>
      <c r="HP26" s="281"/>
      <c r="HQ26" s="281"/>
      <c r="HR26" s="281"/>
      <c r="HS26" s="281"/>
      <c r="HT26" s="281"/>
      <c r="HU26" s="281"/>
      <c r="HV26" s="281"/>
      <c r="HW26" s="281"/>
      <c r="HX26" s="281"/>
      <c r="HY26" s="281"/>
      <c r="HZ26" s="281"/>
      <c r="IA26" s="281"/>
      <c r="IB26" s="242"/>
      <c r="IC26" s="31"/>
      <c r="ID26" s="181"/>
      <c r="IE26" s="181"/>
      <c r="IF26" s="181"/>
      <c r="IG26" s="181"/>
      <c r="IH26" s="181"/>
      <c r="II26" s="181"/>
      <c r="IJ26" s="182"/>
      <c r="IK26" s="242"/>
      <c r="IL26" s="242"/>
      <c r="IM26" s="242"/>
      <c r="IN26" s="242"/>
      <c r="IO26" s="242"/>
      <c r="IP26" s="242"/>
      <c r="IQ26" s="242"/>
      <c r="IR26" s="242"/>
      <c r="IS26" s="180"/>
      <c r="IT26" s="183"/>
      <c r="IU26" s="183"/>
      <c r="IV26" s="183"/>
      <c r="IW26" s="183"/>
      <c r="IX26" s="183"/>
      <c r="IY26" s="183"/>
      <c r="IZ26" s="281"/>
      <c r="JA26" s="281"/>
      <c r="JB26" s="281"/>
      <c r="JC26" s="281"/>
      <c r="JD26" s="281"/>
      <c r="JE26" s="281"/>
      <c r="JF26" s="281"/>
      <c r="JG26" s="281"/>
      <c r="JH26" s="281"/>
      <c r="JI26" s="281"/>
      <c r="JJ26" s="281"/>
      <c r="JK26" s="281"/>
      <c r="JL26" s="281"/>
      <c r="JM26" s="281"/>
      <c r="JN26" s="281"/>
      <c r="JO26" s="281"/>
      <c r="JP26" s="281"/>
      <c r="JQ26" s="281"/>
      <c r="JR26" s="281"/>
      <c r="JS26" s="281"/>
      <c r="JT26" s="281"/>
      <c r="JU26" s="281"/>
      <c r="JV26" s="281"/>
      <c r="JW26" s="281"/>
      <c r="JX26" s="281"/>
      <c r="JY26" s="281"/>
      <c r="JZ26" s="281"/>
      <c r="KA26" s="281"/>
      <c r="KB26" s="216"/>
      <c r="KC26" s="233"/>
      <c r="KD26" s="216"/>
      <c r="KE26" s="233"/>
      <c r="KF26" s="216"/>
      <c r="KG26" s="233"/>
      <c r="KH26" s="216"/>
      <c r="KI26" s="233"/>
      <c r="KJ26" s="216"/>
      <c r="KK26" s="233"/>
      <c r="KL26" s="216"/>
      <c r="KM26" s="233"/>
      <c r="KN26" s="216"/>
      <c r="KO26" s="233"/>
      <c r="KP26" s="216"/>
      <c r="KQ26" s="233"/>
      <c r="KR26" s="295"/>
    </row>
    <row r="27" spans="1:304">
      <c r="A27" s="34" t="s">
        <v>120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70"/>
      <c r="AA27" s="70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70"/>
      <c r="BA27" s="70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70"/>
      <c r="DA27" s="70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7"/>
      <c r="DW27" s="57"/>
      <c r="DX27" s="57"/>
      <c r="DY27" s="57"/>
      <c r="DZ27" s="76"/>
      <c r="EA27" s="62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6"/>
      <c r="ET27" s="57"/>
      <c r="EU27" s="56"/>
      <c r="EV27" s="57"/>
      <c r="EW27" s="57"/>
      <c r="EX27" s="57"/>
      <c r="EY27" s="57"/>
      <c r="EZ27" s="96"/>
      <c r="FA27" s="96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56"/>
      <c r="FZ27" s="96"/>
      <c r="GA27" s="94"/>
      <c r="GB27" s="31"/>
      <c r="GC27" s="95"/>
      <c r="GD27" s="31"/>
      <c r="GE27" s="95"/>
      <c r="GF27" s="31"/>
      <c r="GG27" s="95"/>
      <c r="GH27" s="30"/>
      <c r="GI27" s="56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245"/>
      <c r="HA27" s="245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9"/>
      <c r="IA27" s="159"/>
      <c r="IB27" s="155"/>
      <c r="IC27" s="65"/>
      <c r="ID27" s="155"/>
      <c r="IE27" s="242"/>
      <c r="IF27" s="155"/>
      <c r="IG27" s="242"/>
      <c r="IH27" s="155"/>
      <c r="II27" s="242"/>
      <c r="IJ27" s="155"/>
      <c r="IK27" s="242"/>
      <c r="IL27" s="155"/>
      <c r="IM27" s="242"/>
      <c r="IN27" s="155"/>
      <c r="IO27" s="242"/>
      <c r="IP27" s="155"/>
      <c r="IQ27" s="242"/>
      <c r="IR27" s="155"/>
      <c r="IS27" s="154"/>
      <c r="IT27" s="171"/>
      <c r="IU27" s="171"/>
      <c r="IV27" s="171"/>
      <c r="IW27" s="171"/>
      <c r="IX27" s="171"/>
      <c r="IY27" s="171"/>
      <c r="IZ27" s="141"/>
      <c r="JA27" s="141"/>
      <c r="JB27" s="155"/>
      <c r="JC27" s="249"/>
      <c r="JD27" s="250"/>
      <c r="JE27" s="249"/>
      <c r="JF27" s="250"/>
      <c r="JG27" s="249"/>
      <c r="JH27" s="251"/>
      <c r="JI27" s="250"/>
      <c r="JJ27" s="250"/>
      <c r="JK27" s="249"/>
      <c r="JL27" s="250"/>
      <c r="JM27" s="249"/>
      <c r="JN27" s="250"/>
      <c r="JO27" s="249"/>
      <c r="JP27" s="250"/>
      <c r="JQ27" s="249"/>
      <c r="JR27" s="250"/>
      <c r="JS27" s="252"/>
      <c r="JT27" s="157"/>
      <c r="JU27" s="252"/>
      <c r="JV27" s="157"/>
      <c r="JW27" s="252"/>
      <c r="JX27" s="157"/>
      <c r="JY27" s="252"/>
      <c r="JZ27" s="159"/>
      <c r="KA27" s="253"/>
      <c r="KB27" s="216"/>
      <c r="KC27" s="233"/>
      <c r="KD27" s="216"/>
      <c r="KE27" s="233"/>
      <c r="KF27" s="216"/>
      <c r="KG27" s="233"/>
      <c r="KI27" s="233"/>
      <c r="KK27" s="233"/>
      <c r="KM27" s="233"/>
      <c r="KO27" s="233"/>
      <c r="KQ27" s="233"/>
      <c r="KR27" s="34" t="s">
        <v>120</v>
      </c>
    </row>
    <row r="28" spans="1:304" ht="18.75">
      <c r="A28" s="35" t="s">
        <v>329</v>
      </c>
      <c r="B28" s="68">
        <v>35.4</v>
      </c>
      <c r="C28" s="68"/>
      <c r="D28" s="68">
        <v>42</v>
      </c>
      <c r="E28" s="68"/>
      <c r="F28" s="68">
        <v>49.2</v>
      </c>
      <c r="G28" s="68"/>
      <c r="H28" s="68">
        <v>54.6</v>
      </c>
      <c r="I28" s="68"/>
      <c r="J28" s="68">
        <v>59</v>
      </c>
      <c r="K28" s="68"/>
      <c r="L28" s="68">
        <v>60.9</v>
      </c>
      <c r="M28" s="68"/>
      <c r="N28" s="68">
        <v>67.3</v>
      </c>
      <c r="O28" s="68"/>
      <c r="P28" s="68">
        <v>54.7</v>
      </c>
      <c r="Q28" s="68"/>
      <c r="R28" s="68">
        <v>52.5</v>
      </c>
      <c r="S28" s="68"/>
      <c r="T28" s="68">
        <v>63.8</v>
      </c>
      <c r="U28" s="68"/>
      <c r="V28" s="68">
        <v>57.2</v>
      </c>
      <c r="W28" s="68"/>
      <c r="X28" s="68">
        <v>49</v>
      </c>
      <c r="Y28" s="68"/>
      <c r="Z28" s="70">
        <v>53.7</v>
      </c>
      <c r="AA28" s="70"/>
      <c r="AB28" s="68">
        <v>38.9</v>
      </c>
      <c r="AC28" s="68"/>
      <c r="AD28" s="68">
        <v>40.6</v>
      </c>
      <c r="AE28" s="68"/>
      <c r="AF28" s="68">
        <v>53.1</v>
      </c>
      <c r="AG28" s="68"/>
      <c r="AH28" s="68">
        <v>65.599999999999994</v>
      </c>
      <c r="AI28" s="68"/>
      <c r="AJ28" s="68">
        <v>62.8</v>
      </c>
      <c r="AK28" s="68"/>
      <c r="AL28" s="68">
        <v>69.5</v>
      </c>
      <c r="AM28" s="68"/>
      <c r="AN28" s="68">
        <v>66.099999999999994</v>
      </c>
      <c r="AO28" s="68"/>
      <c r="AP28" s="97">
        <v>63.8</v>
      </c>
      <c r="AQ28" s="68"/>
      <c r="AR28" s="68">
        <v>63.4</v>
      </c>
      <c r="AS28" s="68"/>
      <c r="AT28" s="68">
        <v>69.8</v>
      </c>
      <c r="AU28" s="68"/>
      <c r="AV28" s="68">
        <v>63.6</v>
      </c>
      <c r="AW28" s="68"/>
      <c r="AX28" s="68">
        <v>42.9</v>
      </c>
      <c r="AY28" s="68"/>
      <c r="AZ28" s="70">
        <v>57.2</v>
      </c>
      <c r="BA28" s="70"/>
      <c r="BB28" s="68">
        <v>49.4</v>
      </c>
      <c r="BC28" s="68"/>
      <c r="BD28" s="68">
        <v>55.9</v>
      </c>
      <c r="BE28" s="68"/>
      <c r="BF28" s="68">
        <v>66.2</v>
      </c>
      <c r="BG28" s="68"/>
      <c r="BH28" s="68">
        <v>51.4</v>
      </c>
      <c r="BI28" s="68"/>
      <c r="BJ28" s="68">
        <v>56.6</v>
      </c>
      <c r="BK28" s="68"/>
      <c r="BL28" s="69">
        <v>55.1</v>
      </c>
      <c r="BM28" s="69"/>
      <c r="BN28" s="69">
        <v>57.5</v>
      </c>
      <c r="BO28" s="69"/>
      <c r="BP28" s="69">
        <v>58</v>
      </c>
      <c r="BQ28" s="69"/>
      <c r="BR28" s="69">
        <v>61.8</v>
      </c>
      <c r="BS28" s="69"/>
      <c r="BT28" s="98">
        <v>55.9</v>
      </c>
      <c r="BU28" s="69"/>
      <c r="BV28" s="69">
        <v>60.1</v>
      </c>
      <c r="BW28" s="69"/>
      <c r="BX28" s="69">
        <v>38.700000000000003</v>
      </c>
      <c r="BY28" s="69"/>
      <c r="BZ28" s="70">
        <v>55.2</v>
      </c>
      <c r="CA28" s="70"/>
      <c r="CB28" s="69">
        <v>44.7</v>
      </c>
      <c r="CC28" s="69"/>
      <c r="CD28" s="69">
        <v>45.1</v>
      </c>
      <c r="CE28" s="69"/>
      <c r="CF28" s="69">
        <v>51.4</v>
      </c>
      <c r="CG28" s="69"/>
      <c r="CH28" s="69">
        <v>60</v>
      </c>
      <c r="CI28" s="69"/>
      <c r="CJ28" s="69">
        <v>67.2</v>
      </c>
      <c r="CK28" s="69"/>
      <c r="CL28" s="69">
        <v>65.400000000000006</v>
      </c>
      <c r="CM28" s="69"/>
      <c r="CN28" s="69">
        <v>67.400000000000006</v>
      </c>
      <c r="CO28" s="69"/>
      <c r="CP28" s="69">
        <v>48.4</v>
      </c>
      <c r="CQ28" s="69"/>
      <c r="CR28" s="69">
        <v>49.6</v>
      </c>
      <c r="CS28" s="69"/>
      <c r="CT28" s="69">
        <v>55.5</v>
      </c>
      <c r="CU28" s="69"/>
      <c r="CV28" s="69">
        <v>38.4</v>
      </c>
      <c r="CW28" s="69"/>
      <c r="CX28" s="69">
        <v>29.5</v>
      </c>
      <c r="CY28" s="69"/>
      <c r="CZ28" s="70">
        <v>50.8</v>
      </c>
      <c r="DA28" s="70"/>
      <c r="DB28" s="69">
        <v>31.5</v>
      </c>
      <c r="DC28" s="56"/>
      <c r="DD28" s="57">
        <v>36.200000000000003</v>
      </c>
      <c r="DE28" s="57"/>
      <c r="DF28" s="57">
        <v>39.4</v>
      </c>
      <c r="DG28" s="57"/>
      <c r="DH28" s="58">
        <v>43.3</v>
      </c>
      <c r="DI28" s="61"/>
      <c r="DJ28" s="57">
        <v>66.099999999999994</v>
      </c>
      <c r="DK28" s="57"/>
      <c r="DL28" s="75">
        <v>82.6</v>
      </c>
      <c r="DM28" s="75"/>
      <c r="DN28" s="75">
        <v>64.8</v>
      </c>
      <c r="DO28" s="75"/>
      <c r="DP28" s="68">
        <v>46.3</v>
      </c>
      <c r="DQ28" s="56"/>
      <c r="DR28" s="57">
        <v>48.2</v>
      </c>
      <c r="DS28" s="56"/>
      <c r="DT28" s="58">
        <v>60.2</v>
      </c>
      <c r="DU28" s="56"/>
      <c r="DV28" s="57">
        <v>41.6</v>
      </c>
      <c r="DW28" s="57"/>
      <c r="DX28" s="57">
        <v>37.6</v>
      </c>
      <c r="DY28" s="56"/>
      <c r="DZ28" s="76">
        <v>48.4</v>
      </c>
      <c r="EA28" s="62"/>
      <c r="EB28" s="30">
        <v>26.6</v>
      </c>
      <c r="EC28" s="56"/>
      <c r="ED28" s="58">
        <v>35.6</v>
      </c>
      <c r="EE28" s="57"/>
      <c r="EF28" s="77">
        <v>38.200000000000003</v>
      </c>
      <c r="EG28" s="56"/>
      <c r="EH28" s="57">
        <v>45.8</v>
      </c>
      <c r="EI28" s="56"/>
      <c r="EJ28" s="57">
        <v>40.700000000000003</v>
      </c>
      <c r="EK28" s="56"/>
      <c r="EL28" s="57">
        <v>53.1</v>
      </c>
      <c r="EM28" s="56"/>
      <c r="EN28" s="57">
        <v>46.6</v>
      </c>
      <c r="EO28" s="56"/>
      <c r="EP28" s="68">
        <v>48.7</v>
      </c>
      <c r="EQ28" s="56"/>
      <c r="ER28" s="57">
        <v>38.299999999999997</v>
      </c>
      <c r="ES28" s="56"/>
      <c r="ET28" s="58">
        <v>43</v>
      </c>
      <c r="EU28" s="56"/>
      <c r="EV28" s="57">
        <v>40.200000000000003</v>
      </c>
      <c r="EW28" s="56"/>
      <c r="EX28" s="57">
        <v>31.4</v>
      </c>
      <c r="EY28" s="56"/>
      <c r="EZ28" s="96">
        <v>40.299999999999997</v>
      </c>
      <c r="FA28" s="94"/>
      <c r="FB28" s="31">
        <v>35.200000000000003</v>
      </c>
      <c r="FC28" s="95"/>
      <c r="FD28" s="30">
        <v>37.6</v>
      </c>
      <c r="FE28" s="95"/>
      <c r="FF28" s="30">
        <v>43.2</v>
      </c>
      <c r="FG28" s="95"/>
      <c r="FH28" s="31">
        <v>40</v>
      </c>
      <c r="FI28" s="95"/>
      <c r="FJ28" s="30">
        <v>38.9</v>
      </c>
      <c r="FK28" s="95"/>
      <c r="FL28" s="30">
        <v>43.8</v>
      </c>
      <c r="FM28" s="95"/>
      <c r="FN28" s="30">
        <v>41.4</v>
      </c>
      <c r="FO28" s="95"/>
      <c r="FP28" s="30">
        <v>39.5</v>
      </c>
      <c r="FQ28" s="95"/>
      <c r="FR28" s="30">
        <v>35.9</v>
      </c>
      <c r="FS28" s="95"/>
      <c r="FT28" s="30">
        <v>38.299999999999997</v>
      </c>
      <c r="FU28" s="95"/>
      <c r="FV28" s="30">
        <v>40.700000000000003</v>
      </c>
      <c r="FW28" s="95"/>
      <c r="FX28" s="30">
        <v>28.2</v>
      </c>
      <c r="FY28" s="56"/>
      <c r="FZ28" s="96">
        <v>38.4</v>
      </c>
      <c r="GA28" s="94"/>
      <c r="GB28" s="31">
        <v>35.9</v>
      </c>
      <c r="GC28" s="95"/>
      <c r="GD28" s="31">
        <v>35.4</v>
      </c>
      <c r="GE28" s="95"/>
      <c r="GF28" s="31">
        <v>32</v>
      </c>
      <c r="GG28" s="95"/>
      <c r="GH28" s="30">
        <v>31.9</v>
      </c>
      <c r="GI28" s="56"/>
      <c r="GJ28" s="30">
        <v>31.8</v>
      </c>
      <c r="GK28" s="30"/>
      <c r="GL28" s="30">
        <v>29.5</v>
      </c>
      <c r="GM28" s="30"/>
      <c r="GN28" s="30">
        <v>30.2</v>
      </c>
      <c r="GO28" s="30"/>
      <c r="GP28" s="30">
        <v>24.7</v>
      </c>
      <c r="GQ28" s="30"/>
      <c r="GR28" s="30">
        <v>23.8</v>
      </c>
      <c r="GS28" s="30"/>
      <c r="GT28" s="30">
        <v>31.7</v>
      </c>
      <c r="GU28" s="30"/>
      <c r="GV28" s="30">
        <v>24.5</v>
      </c>
      <c r="GW28" s="30"/>
      <c r="GX28" s="30">
        <v>19.8</v>
      </c>
      <c r="GY28" s="30"/>
      <c r="GZ28" s="245">
        <v>28.7</v>
      </c>
      <c r="HA28" s="245"/>
      <c r="HB28" s="155">
        <v>27</v>
      </c>
      <c r="HC28" s="242"/>
      <c r="HD28" s="155">
        <v>30.2</v>
      </c>
      <c r="HE28" s="242"/>
      <c r="HF28" s="155">
        <v>26.4</v>
      </c>
      <c r="HG28" s="242"/>
      <c r="HH28" s="155">
        <v>28</v>
      </c>
      <c r="HI28" s="242"/>
      <c r="HJ28" s="155">
        <v>31</v>
      </c>
      <c r="HK28" s="242"/>
      <c r="HL28" s="155">
        <v>33.299999999999997</v>
      </c>
      <c r="HM28" s="242"/>
      <c r="HN28" s="155">
        <v>27.1</v>
      </c>
      <c r="HO28" s="242"/>
      <c r="HP28" s="155">
        <v>26.2</v>
      </c>
      <c r="HQ28" s="242"/>
      <c r="HR28" s="155">
        <v>35.5</v>
      </c>
      <c r="HS28" s="242"/>
      <c r="HT28" s="155">
        <v>43.8</v>
      </c>
      <c r="HU28" s="242"/>
      <c r="HV28" s="155">
        <v>39.700000000000003</v>
      </c>
      <c r="HW28" s="160"/>
      <c r="HX28" s="155">
        <v>21.9</v>
      </c>
      <c r="HY28" s="160"/>
      <c r="HZ28" s="156">
        <v>30.7</v>
      </c>
      <c r="IA28" s="159"/>
      <c r="IB28" s="155">
        <v>28.040054196905274</v>
      </c>
      <c r="IC28" s="65"/>
      <c r="ID28" s="155">
        <v>26.252798243669318</v>
      </c>
      <c r="IE28" s="242"/>
      <c r="IF28" s="155">
        <v>29.1</v>
      </c>
      <c r="IG28" s="242"/>
      <c r="IH28" s="155">
        <v>48.3</v>
      </c>
      <c r="II28" s="242"/>
      <c r="IJ28" s="155">
        <v>41.9</v>
      </c>
      <c r="IK28" s="242"/>
      <c r="IL28" s="155">
        <v>33.646355793673074</v>
      </c>
      <c r="IM28" s="242"/>
      <c r="IN28" s="155">
        <v>18.231662747855975</v>
      </c>
      <c r="IO28" s="242"/>
      <c r="IP28" s="155">
        <v>23.970517269550708</v>
      </c>
      <c r="IQ28" s="242"/>
      <c r="IR28" s="155">
        <v>24.69399511810494</v>
      </c>
      <c r="IS28" s="154"/>
      <c r="IT28" s="171">
        <v>27.366580091873587</v>
      </c>
      <c r="IU28" s="171"/>
      <c r="IV28" s="171">
        <v>29.937520556556251</v>
      </c>
      <c r="IW28" s="171"/>
      <c r="IX28" s="171">
        <v>27.423511887561137</v>
      </c>
      <c r="IY28" s="171"/>
      <c r="IZ28" s="141">
        <v>28.607136041890534</v>
      </c>
      <c r="JA28" s="141"/>
      <c r="JB28" s="155">
        <v>27.201128617998489</v>
      </c>
      <c r="JC28" s="249"/>
      <c r="JD28" s="250">
        <v>33.381539851929809</v>
      </c>
      <c r="JE28" s="249"/>
      <c r="JF28" s="250">
        <v>31.733615073119164</v>
      </c>
      <c r="JG28" s="249"/>
      <c r="JH28" s="250">
        <v>24.814179472059564</v>
      </c>
      <c r="JI28" s="250"/>
      <c r="JJ28" s="250">
        <v>23.923381896958524</v>
      </c>
      <c r="JK28" s="249"/>
      <c r="JL28" s="250">
        <v>26.884320155957354</v>
      </c>
      <c r="JM28" s="249"/>
      <c r="JN28" s="250">
        <v>24.449836080903353</v>
      </c>
      <c r="JO28" s="249"/>
      <c r="JP28" s="250">
        <v>23.569886745218618</v>
      </c>
      <c r="JQ28" s="249"/>
      <c r="JR28" s="250">
        <v>22.213649992637404</v>
      </c>
      <c r="JS28" s="252"/>
      <c r="JT28" s="157">
        <v>24.393145532863905</v>
      </c>
      <c r="JU28" s="252"/>
      <c r="JV28" s="157">
        <v>21.497016703410736</v>
      </c>
      <c r="JW28" s="252"/>
      <c r="JX28" s="157">
        <v>18.505250062682457</v>
      </c>
      <c r="JY28" s="252"/>
      <c r="JZ28" s="159">
        <v>24.469409703019988</v>
      </c>
      <c r="KA28" s="253"/>
      <c r="KB28" s="216">
        <v>17.168876452292274</v>
      </c>
      <c r="KC28" s="234"/>
      <c r="KD28" s="216">
        <v>18.944654065675802</v>
      </c>
      <c r="KE28" s="234"/>
      <c r="KF28" s="216">
        <v>12.449708200750678</v>
      </c>
      <c r="KG28" s="233"/>
      <c r="KH28" s="216">
        <v>36.705478483037687</v>
      </c>
      <c r="KI28" s="233"/>
      <c r="KJ28" s="216">
        <v>63.679205473131894</v>
      </c>
      <c r="KK28" s="233"/>
      <c r="KL28" s="216">
        <v>83.621951561567442</v>
      </c>
      <c r="KM28" s="204"/>
      <c r="KN28" s="216">
        <v>63.631162915771299</v>
      </c>
      <c r="KO28" s="204"/>
      <c r="KP28" s="216">
        <v>60.993889881528418</v>
      </c>
      <c r="KQ28" s="204"/>
      <c r="KR28" s="35" t="s">
        <v>329</v>
      </c>
    </row>
    <row r="29" spans="1:304" ht="18.75">
      <c r="A29" s="35" t="s">
        <v>330</v>
      </c>
      <c r="B29" s="68">
        <v>67.599999999999994</v>
      </c>
      <c r="C29" s="68"/>
      <c r="D29" s="68">
        <v>58.7</v>
      </c>
      <c r="E29" s="68"/>
      <c r="F29" s="68">
        <v>42.6</v>
      </c>
      <c r="G29" s="68"/>
      <c r="H29" s="68">
        <v>44.7</v>
      </c>
      <c r="I29" s="68"/>
      <c r="J29" s="68">
        <v>39.700000000000003</v>
      </c>
      <c r="K29" s="68"/>
      <c r="L29" s="68">
        <v>41.1</v>
      </c>
      <c r="M29" s="68"/>
      <c r="N29" s="68">
        <v>45.2</v>
      </c>
      <c r="O29" s="68"/>
      <c r="P29" s="68">
        <v>54.6</v>
      </c>
      <c r="Q29" s="68"/>
      <c r="R29" s="68">
        <v>42.4</v>
      </c>
      <c r="S29" s="68"/>
      <c r="T29" s="68">
        <v>47.8</v>
      </c>
      <c r="U29" s="68"/>
      <c r="V29" s="68">
        <v>58.9</v>
      </c>
      <c r="W29" s="68"/>
      <c r="X29" s="68">
        <v>46.8</v>
      </c>
      <c r="Y29" s="68"/>
      <c r="Z29" s="70">
        <v>48</v>
      </c>
      <c r="AA29" s="70"/>
      <c r="AB29" s="68">
        <v>64.400000000000006</v>
      </c>
      <c r="AC29" s="68"/>
      <c r="AD29" s="68">
        <v>50.7</v>
      </c>
      <c r="AE29" s="68"/>
      <c r="AF29" s="68">
        <v>50.1</v>
      </c>
      <c r="AG29" s="68"/>
      <c r="AH29" s="68">
        <v>42.6</v>
      </c>
      <c r="AI29" s="68"/>
      <c r="AJ29" s="68">
        <v>41.3</v>
      </c>
      <c r="AK29" s="68"/>
      <c r="AL29" s="68">
        <v>44.7</v>
      </c>
      <c r="AM29" s="68"/>
      <c r="AN29" s="68">
        <v>34.1</v>
      </c>
      <c r="AO29" s="68"/>
      <c r="AP29" s="97">
        <v>33.9</v>
      </c>
      <c r="AQ29" s="68"/>
      <c r="AR29" s="68">
        <v>41</v>
      </c>
      <c r="AS29" s="68"/>
      <c r="AT29" s="68">
        <v>41.2</v>
      </c>
      <c r="AU29" s="68"/>
      <c r="AV29" s="68">
        <v>45.8</v>
      </c>
      <c r="AW29" s="68"/>
      <c r="AX29" s="68">
        <v>44.7</v>
      </c>
      <c r="AY29" s="68"/>
      <c r="AZ29" s="70">
        <v>43.7</v>
      </c>
      <c r="BA29" s="70"/>
      <c r="BB29" s="68">
        <v>65.099999999999994</v>
      </c>
      <c r="BC29" s="68"/>
      <c r="BD29" s="68">
        <v>52.1</v>
      </c>
      <c r="BE29" s="68"/>
      <c r="BF29" s="68">
        <v>41.1</v>
      </c>
      <c r="BG29" s="68"/>
      <c r="BH29" s="68">
        <v>38.6</v>
      </c>
      <c r="BI29" s="68"/>
      <c r="BJ29" s="68">
        <v>40</v>
      </c>
      <c r="BK29" s="68"/>
      <c r="BL29" s="69">
        <v>41</v>
      </c>
      <c r="BM29" s="69"/>
      <c r="BN29" s="69">
        <v>43</v>
      </c>
      <c r="BO29" s="69"/>
      <c r="BP29" s="69">
        <v>47.4</v>
      </c>
      <c r="BQ29" s="69"/>
      <c r="BR29" s="69">
        <v>40.9</v>
      </c>
      <c r="BS29" s="69"/>
      <c r="BT29" s="98">
        <v>51.3</v>
      </c>
      <c r="BU29" s="69"/>
      <c r="BV29" s="69">
        <v>57.1</v>
      </c>
      <c r="BW29" s="69"/>
      <c r="BX29" s="69">
        <v>42.7</v>
      </c>
      <c r="BY29" s="69"/>
      <c r="BZ29" s="70">
        <v>46</v>
      </c>
      <c r="CA29" s="70"/>
      <c r="CB29" s="69">
        <v>73.5</v>
      </c>
      <c r="CC29" s="69"/>
      <c r="CD29" s="69">
        <v>57.1</v>
      </c>
      <c r="CE29" s="69"/>
      <c r="CF29" s="69">
        <v>50.7</v>
      </c>
      <c r="CG29" s="69"/>
      <c r="CH29" s="69">
        <v>40.4</v>
      </c>
      <c r="CI29" s="69"/>
      <c r="CJ29" s="69">
        <v>47.3</v>
      </c>
      <c r="CK29" s="69"/>
      <c r="CL29" s="69">
        <v>42.9</v>
      </c>
      <c r="CM29" s="69"/>
      <c r="CN29" s="69">
        <v>42</v>
      </c>
      <c r="CO29" s="69"/>
      <c r="CP29" s="69">
        <v>43.5</v>
      </c>
      <c r="CQ29" s="69"/>
      <c r="CR29" s="69">
        <v>41.7</v>
      </c>
      <c r="CS29" s="69"/>
      <c r="CT29" s="69">
        <v>47</v>
      </c>
      <c r="CU29" s="69"/>
      <c r="CV29" s="69">
        <v>61.9</v>
      </c>
      <c r="CW29" s="69"/>
      <c r="CX29" s="69">
        <v>48.3</v>
      </c>
      <c r="CY29" s="69"/>
      <c r="CZ29" s="70">
        <v>48.5</v>
      </c>
      <c r="DA29" s="70"/>
      <c r="DB29" s="69">
        <v>92</v>
      </c>
      <c r="DC29" s="56"/>
      <c r="DD29" s="75">
        <v>82.9</v>
      </c>
      <c r="DE29" s="75"/>
      <c r="DF29" s="57">
        <v>57.1</v>
      </c>
      <c r="DG29" s="57"/>
      <c r="DH29" s="58">
        <v>54.4</v>
      </c>
      <c r="DI29" s="61"/>
      <c r="DJ29" s="57">
        <v>64.099999999999994</v>
      </c>
      <c r="DK29" s="57"/>
      <c r="DL29" s="75">
        <v>55.3</v>
      </c>
      <c r="DM29" s="75"/>
      <c r="DN29" s="75">
        <v>54.1</v>
      </c>
      <c r="DO29" s="75"/>
      <c r="DP29" s="68">
        <v>48.8</v>
      </c>
      <c r="DQ29" s="56"/>
      <c r="DR29" s="57">
        <v>60.5</v>
      </c>
      <c r="DS29" s="56"/>
      <c r="DT29" s="58">
        <v>67</v>
      </c>
      <c r="DU29" s="56"/>
      <c r="DV29" s="75">
        <v>64.2</v>
      </c>
      <c r="DW29" s="75"/>
      <c r="DX29" s="57">
        <v>62.6</v>
      </c>
      <c r="DY29" s="56"/>
      <c r="DZ29" s="76">
        <v>62.3</v>
      </c>
      <c r="EA29" s="62"/>
      <c r="EB29" s="57">
        <v>91.8</v>
      </c>
      <c r="EC29" s="56"/>
      <c r="ED29" s="58">
        <v>67.8</v>
      </c>
      <c r="EE29" s="57"/>
      <c r="EF29" s="77">
        <v>54</v>
      </c>
      <c r="EG29" s="56"/>
      <c r="EH29" s="57">
        <v>57.8</v>
      </c>
      <c r="EI29" s="56"/>
      <c r="EJ29" s="57">
        <v>58.9</v>
      </c>
      <c r="EK29" s="56"/>
      <c r="EL29" s="57">
        <v>59.5</v>
      </c>
      <c r="EM29" s="56"/>
      <c r="EN29" s="57">
        <v>65.400000000000006</v>
      </c>
      <c r="EO29" s="56"/>
      <c r="EP29" s="68">
        <v>59.1</v>
      </c>
      <c r="EQ29" s="56"/>
      <c r="ER29" s="57">
        <v>75.2</v>
      </c>
      <c r="ES29" s="99"/>
      <c r="ET29" s="57">
        <v>69.400000000000006</v>
      </c>
      <c r="EU29" s="99"/>
      <c r="EV29" s="57">
        <v>90.3</v>
      </c>
      <c r="EW29" s="56"/>
      <c r="EX29" s="57">
        <v>74.3</v>
      </c>
      <c r="EY29" s="56"/>
      <c r="EZ29" s="96">
        <v>67.5</v>
      </c>
      <c r="FA29" s="94"/>
      <c r="FB29" s="31">
        <v>76.900000000000006</v>
      </c>
      <c r="FC29" s="95"/>
      <c r="FD29" s="30">
        <v>76.3</v>
      </c>
      <c r="FE29" s="95"/>
      <c r="FF29" s="30">
        <v>58.2</v>
      </c>
      <c r="FG29" s="95"/>
      <c r="FH29" s="30">
        <v>51.7</v>
      </c>
      <c r="FI29" s="95"/>
      <c r="FJ29" s="30">
        <v>54.8</v>
      </c>
      <c r="FK29" s="95"/>
      <c r="FL29" s="30">
        <v>56.4</v>
      </c>
      <c r="FM29" s="95"/>
      <c r="FN29" s="30">
        <v>60.3</v>
      </c>
      <c r="FO29" s="95"/>
      <c r="FP29" s="30">
        <v>63.4</v>
      </c>
      <c r="FQ29" s="95"/>
      <c r="FR29" s="30">
        <v>70.2</v>
      </c>
      <c r="FS29" s="95"/>
      <c r="FT29" s="30">
        <v>81.2</v>
      </c>
      <c r="FU29" s="95"/>
      <c r="FV29" s="30">
        <v>82.4</v>
      </c>
      <c r="FW29" s="95"/>
      <c r="FX29" s="30">
        <v>71.7</v>
      </c>
      <c r="FY29" s="99"/>
      <c r="FZ29" s="96">
        <v>66.8</v>
      </c>
      <c r="GA29" s="100"/>
      <c r="GB29" s="31">
        <v>85.8</v>
      </c>
      <c r="GC29" s="95"/>
      <c r="GD29" s="31">
        <v>67.2</v>
      </c>
      <c r="GE29" s="95"/>
      <c r="GF29" s="31">
        <v>63</v>
      </c>
      <c r="GG29" s="95"/>
      <c r="GH29" s="30">
        <v>57.3</v>
      </c>
      <c r="GI29" s="56"/>
      <c r="GJ29" s="31">
        <v>58</v>
      </c>
      <c r="GK29" s="30"/>
      <c r="GL29" s="31">
        <v>62.6</v>
      </c>
      <c r="GM29" s="30"/>
      <c r="GN29" s="31">
        <v>61</v>
      </c>
      <c r="GO29" s="30"/>
      <c r="GP29" s="31">
        <v>70.5</v>
      </c>
      <c r="GQ29" s="30"/>
      <c r="GR29" s="30">
        <v>64.3</v>
      </c>
      <c r="GS29" s="30"/>
      <c r="GT29" s="31">
        <v>66</v>
      </c>
      <c r="GU29" s="30"/>
      <c r="GV29" s="30">
        <v>77.900000000000006</v>
      </c>
      <c r="GW29" s="30"/>
      <c r="GX29" s="30">
        <v>57.3</v>
      </c>
      <c r="GY29" s="30"/>
      <c r="GZ29" s="245">
        <v>65.3</v>
      </c>
      <c r="HA29" s="245"/>
      <c r="HB29" s="155">
        <v>93.3</v>
      </c>
      <c r="HC29" s="242"/>
      <c r="HD29" s="155">
        <v>68.400000000000006</v>
      </c>
      <c r="HE29" s="242"/>
      <c r="HF29" s="155">
        <v>61.8</v>
      </c>
      <c r="HG29" s="242"/>
      <c r="HH29" s="155">
        <v>49.8</v>
      </c>
      <c r="HI29" s="242"/>
      <c r="HJ29" s="155">
        <v>56.4</v>
      </c>
      <c r="HK29" s="242"/>
      <c r="HL29" s="155">
        <v>58</v>
      </c>
      <c r="HM29" s="242"/>
      <c r="HN29" s="155">
        <v>59.3</v>
      </c>
      <c r="HO29" s="242"/>
      <c r="HP29" s="155">
        <v>62.2</v>
      </c>
      <c r="HQ29" s="242"/>
      <c r="HR29" s="155">
        <v>62.4</v>
      </c>
      <c r="HS29" s="242"/>
      <c r="HT29" s="155">
        <v>68.2</v>
      </c>
      <c r="HU29" s="242"/>
      <c r="HV29" s="155">
        <v>71.8</v>
      </c>
      <c r="HW29" s="160"/>
      <c r="HX29" s="155">
        <v>59.4</v>
      </c>
      <c r="HY29" s="160"/>
      <c r="HZ29" s="156">
        <v>63.3</v>
      </c>
      <c r="IA29" s="159"/>
      <c r="IB29" s="155">
        <v>86.383855193508012</v>
      </c>
      <c r="IC29" s="254"/>
      <c r="ID29" s="155">
        <v>70.666401830494479</v>
      </c>
      <c r="IE29" s="173"/>
      <c r="IF29" s="155">
        <v>55.7</v>
      </c>
      <c r="IG29" s="173"/>
      <c r="IH29" s="155">
        <v>63.1</v>
      </c>
      <c r="II29" s="173"/>
      <c r="IJ29" s="155">
        <v>59.6</v>
      </c>
      <c r="IK29" s="173"/>
      <c r="IL29" s="155">
        <v>64.781623171749985</v>
      </c>
      <c r="IM29" s="173"/>
      <c r="IN29" s="155">
        <v>63.825714518049267</v>
      </c>
      <c r="IO29" s="173"/>
      <c r="IP29" s="155">
        <v>59.3818451818223</v>
      </c>
      <c r="IQ29" s="173"/>
      <c r="IR29" s="155">
        <v>65.074098167181432</v>
      </c>
      <c r="IS29" s="154"/>
      <c r="IT29" s="171">
        <v>78.58539656975411</v>
      </c>
      <c r="IU29" s="171"/>
      <c r="IV29" s="155">
        <v>74.798265860163298</v>
      </c>
      <c r="IW29" s="171"/>
      <c r="IX29" s="171">
        <v>55.72899619260825</v>
      </c>
      <c r="IY29" s="171"/>
      <c r="IZ29" s="141">
        <v>66.391612899133776</v>
      </c>
      <c r="JA29" s="141"/>
      <c r="JB29" s="155">
        <v>74.953787728265382</v>
      </c>
      <c r="JC29" s="249"/>
      <c r="JD29" s="250">
        <v>55.656400321484902</v>
      </c>
      <c r="JE29" s="249"/>
      <c r="JF29" s="250">
        <v>55.339809130597793</v>
      </c>
      <c r="JG29" s="249"/>
      <c r="JH29" s="250">
        <v>51.994592953038641</v>
      </c>
      <c r="JI29" s="250"/>
      <c r="JJ29" s="250">
        <v>53.014353694066799</v>
      </c>
      <c r="JK29" s="249"/>
      <c r="JL29" s="250">
        <v>49.185897307932585</v>
      </c>
      <c r="JM29" s="249"/>
      <c r="JN29" s="250">
        <v>58.03621871247897</v>
      </c>
      <c r="JO29" s="249"/>
      <c r="JP29" s="250">
        <v>50.462327281653508</v>
      </c>
      <c r="JQ29" s="249"/>
      <c r="JR29" s="250">
        <v>57.49302022356342</v>
      </c>
      <c r="JS29" s="252"/>
      <c r="JT29" s="157">
        <v>82.8519240050787</v>
      </c>
      <c r="JU29" s="252"/>
      <c r="JV29" s="157">
        <v>82.359381113139492</v>
      </c>
      <c r="JW29" s="252"/>
      <c r="JX29" s="157">
        <v>64.923967842698175</v>
      </c>
      <c r="JY29" s="252"/>
      <c r="JZ29" s="159">
        <v>60.951941894689064</v>
      </c>
      <c r="KA29" s="253"/>
      <c r="KB29" s="216">
        <v>85.918858389480704</v>
      </c>
      <c r="KC29" s="234"/>
      <c r="KD29" s="216">
        <v>70.220084414385681</v>
      </c>
      <c r="KE29" s="234"/>
      <c r="KF29" s="216">
        <v>81.83348285496092</v>
      </c>
      <c r="KG29" s="234"/>
      <c r="KH29" s="216">
        <v>76.24214797180872</v>
      </c>
      <c r="KI29" s="234"/>
      <c r="KJ29" s="216">
        <v>64.55485460873544</v>
      </c>
      <c r="KK29" s="234"/>
      <c r="KL29" s="216">
        <v>51.979850893146704</v>
      </c>
      <c r="KM29" s="204"/>
      <c r="KN29" s="216">
        <v>48.37231970256623</v>
      </c>
      <c r="KO29" s="204"/>
      <c r="KP29" s="216">
        <v>48.53491238470324</v>
      </c>
      <c r="KQ29" s="204"/>
      <c r="KR29" s="35" t="s">
        <v>330</v>
      </c>
    </row>
    <row r="30" spans="1:304" ht="16.5" thickBot="1">
      <c r="A30" s="37" t="s">
        <v>169</v>
      </c>
      <c r="B30" s="101">
        <v>36</v>
      </c>
      <c r="C30" s="101"/>
      <c r="D30" s="101">
        <v>26.1</v>
      </c>
      <c r="E30" s="101"/>
      <c r="F30" s="101">
        <v>16.2</v>
      </c>
      <c r="G30" s="101"/>
      <c r="H30" s="101">
        <v>17.7</v>
      </c>
      <c r="I30" s="101"/>
      <c r="J30" s="101">
        <v>18.3</v>
      </c>
      <c r="K30" s="101"/>
      <c r="L30" s="101">
        <v>18.3</v>
      </c>
      <c r="M30" s="101"/>
      <c r="N30" s="101">
        <v>12</v>
      </c>
      <c r="O30" s="101"/>
      <c r="P30" s="101">
        <v>11.1</v>
      </c>
      <c r="Q30" s="101"/>
      <c r="R30" s="101">
        <v>10.4</v>
      </c>
      <c r="S30" s="101"/>
      <c r="T30" s="101">
        <v>15.2</v>
      </c>
      <c r="U30" s="101"/>
      <c r="V30" s="101">
        <v>21.1</v>
      </c>
      <c r="W30" s="101"/>
      <c r="X30" s="101">
        <v>18.3</v>
      </c>
      <c r="Y30" s="101"/>
      <c r="Z30" s="102">
        <v>17.600000000000001</v>
      </c>
      <c r="AA30" s="102"/>
      <c r="AB30" s="101">
        <v>22</v>
      </c>
      <c r="AC30" s="101"/>
      <c r="AD30" s="101">
        <v>20</v>
      </c>
      <c r="AE30" s="101"/>
      <c r="AF30" s="101">
        <v>14.7</v>
      </c>
      <c r="AG30" s="101"/>
      <c r="AH30" s="101">
        <v>17.8</v>
      </c>
      <c r="AI30" s="101"/>
      <c r="AJ30" s="101">
        <v>17.399999999999999</v>
      </c>
      <c r="AK30" s="101"/>
      <c r="AL30" s="101">
        <v>16.2</v>
      </c>
      <c r="AM30" s="101"/>
      <c r="AN30" s="101">
        <v>15.7</v>
      </c>
      <c r="AO30" s="101"/>
      <c r="AP30" s="103">
        <v>17.2</v>
      </c>
      <c r="AQ30" s="101"/>
      <c r="AR30" s="101">
        <v>18.600000000000001</v>
      </c>
      <c r="AS30" s="101"/>
      <c r="AT30" s="101">
        <v>14.4</v>
      </c>
      <c r="AU30" s="101"/>
      <c r="AV30" s="101">
        <v>19.7</v>
      </c>
      <c r="AW30" s="101"/>
      <c r="AX30" s="101">
        <v>16.7</v>
      </c>
      <c r="AY30" s="101"/>
      <c r="AZ30" s="102">
        <v>17.3</v>
      </c>
      <c r="BA30" s="102"/>
      <c r="BB30" s="101">
        <v>20.9</v>
      </c>
      <c r="BC30" s="101"/>
      <c r="BD30" s="101">
        <v>34.4</v>
      </c>
      <c r="BE30" s="101"/>
      <c r="BF30" s="101">
        <v>27.2</v>
      </c>
      <c r="BG30" s="101"/>
      <c r="BH30" s="101">
        <v>28.5</v>
      </c>
      <c r="BI30" s="101"/>
      <c r="BJ30" s="101">
        <v>26.4</v>
      </c>
      <c r="BK30" s="101"/>
      <c r="BL30" s="104">
        <v>22.7</v>
      </c>
      <c r="BM30" s="104"/>
      <c r="BN30" s="104">
        <v>26</v>
      </c>
      <c r="BO30" s="104"/>
      <c r="BP30" s="104">
        <v>28.4</v>
      </c>
      <c r="BQ30" s="104"/>
      <c r="BR30" s="104">
        <v>27.3</v>
      </c>
      <c r="BS30" s="104"/>
      <c r="BT30" s="105">
        <v>28.7</v>
      </c>
      <c r="BU30" s="104"/>
      <c r="BV30" s="104">
        <v>33.5</v>
      </c>
      <c r="BW30" s="104"/>
      <c r="BX30" s="104">
        <v>24</v>
      </c>
      <c r="BY30" s="104"/>
      <c r="BZ30" s="102">
        <v>27.3</v>
      </c>
      <c r="CA30" s="102"/>
      <c r="CB30" s="104">
        <v>32.799999999999997</v>
      </c>
      <c r="CC30" s="104"/>
      <c r="CD30" s="104">
        <v>23.4</v>
      </c>
      <c r="CE30" s="104"/>
      <c r="CF30" s="104">
        <v>23.6</v>
      </c>
      <c r="CG30" s="104"/>
      <c r="CH30" s="104">
        <v>35.5</v>
      </c>
      <c r="CI30" s="104"/>
      <c r="CJ30" s="104">
        <v>26.5</v>
      </c>
      <c r="CK30" s="104"/>
      <c r="CL30" s="104">
        <v>26.1</v>
      </c>
      <c r="CM30" s="104"/>
      <c r="CN30" s="104">
        <v>31.7</v>
      </c>
      <c r="CO30" s="104"/>
      <c r="CP30" s="104">
        <v>34.200000000000003</v>
      </c>
      <c r="CQ30" s="104"/>
      <c r="CR30" s="104">
        <v>27.6</v>
      </c>
      <c r="CS30" s="104"/>
      <c r="CT30" s="104">
        <v>25.5</v>
      </c>
      <c r="CU30" s="104"/>
      <c r="CV30" s="104">
        <v>23.2</v>
      </c>
      <c r="CW30" s="104"/>
      <c r="CX30" s="104">
        <v>24.9</v>
      </c>
      <c r="CY30" s="104"/>
      <c r="CZ30" s="102">
        <v>27.5</v>
      </c>
      <c r="DA30" s="102"/>
      <c r="DB30" s="104">
        <v>27.5</v>
      </c>
      <c r="DC30" s="106"/>
      <c r="DD30" s="107">
        <v>27.1</v>
      </c>
      <c r="DE30" s="107"/>
      <c r="DF30" s="107">
        <v>22.7</v>
      </c>
      <c r="DG30" s="107"/>
      <c r="DH30" s="101">
        <v>29.3</v>
      </c>
      <c r="DI30" s="108"/>
      <c r="DJ30" s="107">
        <v>20.9</v>
      </c>
      <c r="DK30" s="107"/>
      <c r="DL30" s="107">
        <v>20.7</v>
      </c>
      <c r="DM30" s="107"/>
      <c r="DN30" s="107">
        <v>20.8</v>
      </c>
      <c r="DO30" s="107"/>
      <c r="DP30" s="101">
        <v>24.9</v>
      </c>
      <c r="DQ30" s="106"/>
      <c r="DR30" s="107">
        <v>24.7</v>
      </c>
      <c r="DS30" s="106"/>
      <c r="DT30" s="101">
        <v>28.7</v>
      </c>
      <c r="DU30" s="106"/>
      <c r="DV30" s="107">
        <v>30.5</v>
      </c>
      <c r="DW30" s="107"/>
      <c r="DX30" s="107">
        <v>28.7</v>
      </c>
      <c r="DY30" s="106"/>
      <c r="DZ30" s="109">
        <v>25.3</v>
      </c>
      <c r="EA30" s="110"/>
      <c r="EB30" s="32">
        <v>39.299999999999997</v>
      </c>
      <c r="EC30" s="106"/>
      <c r="ED30" s="101">
        <v>27</v>
      </c>
      <c r="EE30" s="107"/>
      <c r="EF30" s="111">
        <v>30</v>
      </c>
      <c r="EG30" s="106"/>
      <c r="EH30" s="107">
        <v>38.799999999999997</v>
      </c>
      <c r="EI30" s="106"/>
      <c r="EJ30" s="107">
        <v>28.4</v>
      </c>
      <c r="EK30" s="106"/>
      <c r="EL30" s="107">
        <v>22.4</v>
      </c>
      <c r="EM30" s="106"/>
      <c r="EN30" s="107">
        <v>30.8</v>
      </c>
      <c r="EO30" s="106"/>
      <c r="EP30" s="101">
        <v>26</v>
      </c>
      <c r="EQ30" s="106"/>
      <c r="ER30" s="107">
        <v>28.8</v>
      </c>
      <c r="ES30" s="106"/>
      <c r="ET30" s="107">
        <v>28.8</v>
      </c>
      <c r="EU30" s="106"/>
      <c r="EV30" s="107">
        <v>30.1</v>
      </c>
      <c r="EW30" s="106"/>
      <c r="EX30" s="107">
        <v>26.1</v>
      </c>
      <c r="EY30" s="106"/>
      <c r="EZ30" s="112">
        <v>29.3</v>
      </c>
      <c r="FA30" s="113"/>
      <c r="FB30" s="104">
        <v>29</v>
      </c>
      <c r="FC30" s="114"/>
      <c r="FD30" s="32">
        <v>28.7</v>
      </c>
      <c r="FE30" s="114"/>
      <c r="FF30" s="32">
        <v>37.1</v>
      </c>
      <c r="FG30" s="114"/>
      <c r="FH30" s="32">
        <v>26.6</v>
      </c>
      <c r="FI30" s="114"/>
      <c r="FJ30" s="32">
        <v>26.2</v>
      </c>
      <c r="FK30" s="114"/>
      <c r="FL30" s="32">
        <v>20.9</v>
      </c>
      <c r="FM30" s="114"/>
      <c r="FN30" s="32">
        <v>28.5</v>
      </c>
      <c r="FO30" s="114"/>
      <c r="FP30" s="32">
        <v>26.7</v>
      </c>
      <c r="FQ30" s="114"/>
      <c r="FR30" s="32">
        <v>31.8</v>
      </c>
      <c r="FS30" s="114"/>
      <c r="FT30" s="32">
        <v>30.4</v>
      </c>
      <c r="FU30" s="114"/>
      <c r="FV30" s="32">
        <v>34.5</v>
      </c>
      <c r="FW30" s="114"/>
      <c r="FX30" s="32">
        <v>31.9</v>
      </c>
      <c r="FY30" s="106"/>
      <c r="FZ30" s="112">
        <v>29.6</v>
      </c>
      <c r="GA30" s="113"/>
      <c r="GB30" s="104">
        <v>34.200000000000003</v>
      </c>
      <c r="GC30" s="114"/>
      <c r="GD30" s="104">
        <v>32.6</v>
      </c>
      <c r="GE30" s="114"/>
      <c r="GF30" s="104">
        <v>28.2</v>
      </c>
      <c r="GG30" s="114"/>
      <c r="GH30" s="104">
        <v>27.9</v>
      </c>
      <c r="GI30" s="106"/>
      <c r="GJ30" s="104">
        <v>27</v>
      </c>
      <c r="GK30" s="32"/>
      <c r="GL30" s="32">
        <v>27.2</v>
      </c>
      <c r="GM30" s="32"/>
      <c r="GN30" s="32">
        <v>25.1</v>
      </c>
      <c r="GO30" s="32"/>
      <c r="GP30" s="32">
        <v>21.3</v>
      </c>
      <c r="GQ30" s="32"/>
      <c r="GR30" s="32">
        <v>23.8</v>
      </c>
      <c r="GS30" s="32"/>
      <c r="GT30" s="104">
        <v>28.2</v>
      </c>
      <c r="GU30" s="32"/>
      <c r="GV30" s="104">
        <v>35.4</v>
      </c>
      <c r="GW30" s="32"/>
      <c r="GX30" s="32">
        <v>40.200000000000003</v>
      </c>
      <c r="GY30" s="32"/>
      <c r="GZ30" s="126">
        <v>29.3</v>
      </c>
      <c r="HA30" s="112"/>
      <c r="HB30" s="161">
        <v>50.4</v>
      </c>
      <c r="HC30" s="161"/>
      <c r="HD30" s="161">
        <v>45.6</v>
      </c>
      <c r="HE30" s="161"/>
      <c r="HF30" s="161">
        <v>44</v>
      </c>
      <c r="HG30" s="161"/>
      <c r="HH30" s="161">
        <v>39.4</v>
      </c>
      <c r="HI30" s="161"/>
      <c r="HJ30" s="161">
        <v>29.6</v>
      </c>
      <c r="HK30" s="161"/>
      <c r="HL30" s="161">
        <v>28.8</v>
      </c>
      <c r="HM30" s="161"/>
      <c r="HN30" s="161">
        <v>28.1</v>
      </c>
      <c r="HO30" s="161"/>
      <c r="HP30" s="161">
        <v>28.7</v>
      </c>
      <c r="HQ30" s="162"/>
      <c r="HR30" s="161">
        <v>31.3</v>
      </c>
      <c r="HS30" s="161"/>
      <c r="HT30" s="161">
        <v>27.4</v>
      </c>
      <c r="HU30" s="161"/>
      <c r="HV30" s="161">
        <v>28.9</v>
      </c>
      <c r="HW30" s="163"/>
      <c r="HX30" s="161">
        <v>26.5</v>
      </c>
      <c r="HY30" s="163"/>
      <c r="HZ30" s="164">
        <v>33.5</v>
      </c>
      <c r="IA30" s="165"/>
      <c r="IB30" s="170">
        <v>40.161330563970047</v>
      </c>
      <c r="IC30" s="167"/>
      <c r="ID30" s="170">
        <v>38.173075516865786</v>
      </c>
      <c r="IE30" s="167"/>
      <c r="IF30" s="170">
        <v>28.4</v>
      </c>
      <c r="IG30" s="167"/>
      <c r="IH30" s="170">
        <v>39.6</v>
      </c>
      <c r="II30" s="167"/>
      <c r="IJ30" s="170">
        <v>33.5</v>
      </c>
      <c r="IK30" s="167"/>
      <c r="IL30" s="170">
        <v>26.272738046735711</v>
      </c>
      <c r="IM30" s="167"/>
      <c r="IN30" s="170">
        <v>22.239994725256597</v>
      </c>
      <c r="IO30" s="167"/>
      <c r="IP30" s="170">
        <v>17.096471885836483</v>
      </c>
      <c r="IQ30" s="167"/>
      <c r="IR30" s="170">
        <v>20.811585873816373</v>
      </c>
      <c r="IS30" s="166"/>
      <c r="IT30" s="172">
        <v>24.804099659976011</v>
      </c>
      <c r="IU30" s="172"/>
      <c r="IV30" s="172">
        <v>28.478113669507156</v>
      </c>
      <c r="IW30" s="172"/>
      <c r="IX30" s="172">
        <v>23.411725685023434</v>
      </c>
      <c r="IY30" s="172"/>
      <c r="IZ30" s="176">
        <v>27.635647896867127</v>
      </c>
      <c r="JA30" s="177"/>
      <c r="JB30" s="170">
        <v>32.317418590396748</v>
      </c>
      <c r="JC30" s="255"/>
      <c r="JD30" s="101">
        <v>31.348384663712114</v>
      </c>
      <c r="JE30" s="255"/>
      <c r="JF30" s="256">
        <v>24.773195777782654</v>
      </c>
      <c r="JG30" s="255"/>
      <c r="JH30" s="256">
        <v>27.573320208792328</v>
      </c>
      <c r="JI30" s="256"/>
      <c r="JJ30" s="256">
        <v>18.723425618057803</v>
      </c>
      <c r="JK30" s="255"/>
      <c r="JL30" s="256">
        <v>29.992462541100657</v>
      </c>
      <c r="JM30" s="255"/>
      <c r="JN30" s="256">
        <v>34.625929342054498</v>
      </c>
      <c r="JO30" s="255"/>
      <c r="JP30" s="256">
        <v>44.855311897286363</v>
      </c>
      <c r="JQ30" s="255"/>
      <c r="JR30" s="256">
        <v>45.132238632506251</v>
      </c>
      <c r="JS30" s="257"/>
      <c r="JT30" s="172">
        <v>46.298188116390179</v>
      </c>
      <c r="JU30" s="257"/>
      <c r="JV30" s="172">
        <v>47.059933983995855</v>
      </c>
      <c r="JW30" s="257"/>
      <c r="JX30" s="172">
        <v>40.112361945335749</v>
      </c>
      <c r="JY30" s="257"/>
      <c r="JZ30" s="176">
        <v>35.754794228014561</v>
      </c>
      <c r="KA30" s="258"/>
      <c r="KB30" s="267">
        <v>58.053870632583624</v>
      </c>
      <c r="KC30" s="259"/>
      <c r="KD30" s="267">
        <v>51.82189811247747</v>
      </c>
      <c r="KE30" s="259"/>
      <c r="KF30" s="267">
        <v>38.454343517451434</v>
      </c>
      <c r="KG30" s="259"/>
      <c r="KH30" s="267">
        <v>27.873208079232175</v>
      </c>
      <c r="KI30" s="259"/>
      <c r="KJ30" s="267">
        <v>30.39530076715311</v>
      </c>
      <c r="KK30" s="259"/>
      <c r="KL30" s="267">
        <v>38.629790839473841</v>
      </c>
      <c r="KM30" s="277"/>
      <c r="KN30" s="267">
        <v>24.155417829325142</v>
      </c>
      <c r="KO30" s="277"/>
      <c r="KP30" s="267">
        <v>20.573439917508406</v>
      </c>
      <c r="KQ30" s="277"/>
      <c r="KR30" s="37" t="s">
        <v>169</v>
      </c>
    </row>
    <row r="31" spans="1:304" ht="15.75" customHeight="1">
      <c r="A31" s="184" t="s">
        <v>328</v>
      </c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</row>
    <row r="32" spans="1:304">
      <c r="A32" s="296" t="s">
        <v>331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</row>
    <row r="33" spans="1:303" ht="15.75" customHeight="1">
      <c r="A33" s="292" t="s">
        <v>337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</row>
    <row r="34" spans="1:303" ht="16.5">
      <c r="A34" s="291" t="s">
        <v>332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</row>
    <row r="35" spans="1:303" ht="15.75" customHeight="1">
      <c r="A35" s="187" t="s">
        <v>336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FP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</row>
    <row r="36" spans="1:303" ht="15.75" customHeight="1">
      <c r="A36" s="188" t="s">
        <v>333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FP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</row>
    <row r="37" spans="1:303" ht="15.75" customHeight="1">
      <c r="A37" s="189" t="s">
        <v>334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FP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</row>
    <row r="38" spans="1:303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</row>
    <row r="39" spans="1:303">
      <c r="A39" s="191" t="s">
        <v>335</v>
      </c>
      <c r="B39" s="190"/>
      <c r="C39" s="190"/>
      <c r="D39" s="190"/>
      <c r="E39" s="190"/>
      <c r="F39" s="190"/>
      <c r="G39" s="190"/>
      <c r="H39" s="192"/>
      <c r="I39" s="192"/>
      <c r="J39" s="192"/>
      <c r="K39" s="192"/>
    </row>
    <row r="53" spans="276:276">
      <c r="JP53" s="23" t="s">
        <v>325</v>
      </c>
    </row>
  </sheetData>
  <protectedRanges>
    <protectedRange sqref="A35:K35 A38:K38 B36:K37" name="Диапазон1_4"/>
  </protectedRanges>
  <mergeCells count="431">
    <mergeCell ref="KN5:KN6"/>
    <mergeCell ref="HC25:HC26"/>
    <mergeCell ref="KR25:KR26"/>
    <mergeCell ref="KH5:KH6"/>
    <mergeCell ref="KP5:KP6"/>
    <mergeCell ref="KJ5:KJ6"/>
    <mergeCell ref="JB25:JB26"/>
    <mergeCell ref="IZ25:IZ26"/>
    <mergeCell ref="JA25:JA26"/>
    <mergeCell ref="JX25:JX26"/>
    <mergeCell ref="JY25:JY26"/>
    <mergeCell ref="JZ25:JZ26"/>
    <mergeCell ref="KA25:KA26"/>
    <mergeCell ref="JG25:JG26"/>
    <mergeCell ref="JE25:JE26"/>
    <mergeCell ref="JC25:JC26"/>
    <mergeCell ref="JO25:JO26"/>
    <mergeCell ref="JP25:JP26"/>
    <mergeCell ref="JQ25:JQ26"/>
    <mergeCell ref="JR25:JR26"/>
    <mergeCell ref="JS25:JS26"/>
    <mergeCell ref="JT25:JT26"/>
    <mergeCell ref="JU25:JU26"/>
    <mergeCell ref="JV25:JV26"/>
    <mergeCell ref="JW25:JW26"/>
    <mergeCell ref="JX5:JX6"/>
    <mergeCell ref="JZ5:JZ6"/>
    <mergeCell ref="JK25:JK26"/>
    <mergeCell ref="JL25:JL26"/>
    <mergeCell ref="JM25:JM26"/>
    <mergeCell ref="JN25:JN26"/>
    <mergeCell ref="JR5:JR6"/>
    <mergeCell ref="HE25:HE26"/>
    <mergeCell ref="HD25:HD26"/>
    <mergeCell ref="JD25:JD26"/>
    <mergeCell ref="JF25:JF26"/>
    <mergeCell ref="JH25:JH26"/>
    <mergeCell ref="JJ25:JJ26"/>
    <mergeCell ref="JI25:JI26"/>
    <mergeCell ref="JF5:JF6"/>
    <mergeCell ref="JD5:JD6"/>
    <mergeCell ref="JP5:JP6"/>
    <mergeCell ref="IP5:IP6"/>
    <mergeCell ref="ID5:ID6"/>
    <mergeCell ref="IF5:IF6"/>
    <mergeCell ref="HX5:HX6"/>
    <mergeCell ref="HV5:HV6"/>
    <mergeCell ref="IJ5:IJ6"/>
    <mergeCell ref="HR5:HR6"/>
    <mergeCell ref="HH5:HH6"/>
    <mergeCell ref="IL5:IL6"/>
    <mergeCell ref="IN5:IN6"/>
    <mergeCell ref="HZ25:HZ26"/>
    <mergeCell ref="IA25:IA26"/>
    <mergeCell ref="HX25:HX26"/>
    <mergeCell ref="HW25:HW26"/>
    <mergeCell ref="HY25:HY26"/>
    <mergeCell ref="HP25:HP26"/>
    <mergeCell ref="GB4:HA4"/>
    <mergeCell ref="FB4:GA4"/>
    <mergeCell ref="IH5:IH6"/>
    <mergeCell ref="JN5:JN6"/>
    <mergeCell ref="JB5:JB6"/>
    <mergeCell ref="IX5:IX6"/>
    <mergeCell ref="IR5:IR6"/>
    <mergeCell ref="IT5:IT6"/>
    <mergeCell ref="IV5:IV6"/>
    <mergeCell ref="IZ5:IZ6"/>
    <mergeCell ref="JH5:JH6"/>
    <mergeCell ref="JJ5:JJ6"/>
    <mergeCell ref="JL5:JL6"/>
    <mergeCell ref="HB4:IA4"/>
    <mergeCell ref="HB5:HB6"/>
    <mergeCell ref="IB5:IB6"/>
    <mergeCell ref="HZ5:HZ6"/>
    <mergeCell ref="HT5:HT6"/>
    <mergeCell ref="HN5:HN6"/>
    <mergeCell ref="HP5:HP6"/>
    <mergeCell ref="HL5:HL6"/>
    <mergeCell ref="HJ5:HJ6"/>
    <mergeCell ref="IB4:JA4"/>
    <mergeCell ref="JB4:KA4"/>
    <mergeCell ref="AX5:AX6"/>
    <mergeCell ref="ER5:ER6"/>
    <mergeCell ref="GZ5:GZ6"/>
    <mergeCell ref="GF5:GF6"/>
    <mergeCell ref="GH5:GH6"/>
    <mergeCell ref="GJ5:GJ6"/>
    <mergeCell ref="GL5:GL6"/>
    <mergeCell ref="FV5:FV6"/>
    <mergeCell ref="FN5:FN6"/>
    <mergeCell ref="FZ5:FZ6"/>
    <mergeCell ref="FX5:FX6"/>
    <mergeCell ref="FT5:FT6"/>
    <mergeCell ref="GN5:GN6"/>
    <mergeCell ref="GP5:GP6"/>
    <mergeCell ref="FF5:FF6"/>
    <mergeCell ref="FR5:FR6"/>
    <mergeCell ref="FP5:FP6"/>
    <mergeCell ref="FH5:FH6"/>
    <mergeCell ref="GB5:GB6"/>
    <mergeCell ref="BH5:BH6"/>
    <mergeCell ref="BD5:BD6"/>
    <mergeCell ref="BL5:BL6"/>
    <mergeCell ref="BV5:BV6"/>
    <mergeCell ref="DV5:DV6"/>
    <mergeCell ref="DB4:EA4"/>
    <mergeCell ref="EB5:EB6"/>
    <mergeCell ref="DB5:DB6"/>
    <mergeCell ref="DD5:DD6"/>
    <mergeCell ref="HB25:HB26"/>
    <mergeCell ref="HA25:HA26"/>
    <mergeCell ref="HV25:HV26"/>
    <mergeCell ref="HU25:HU26"/>
    <mergeCell ref="HT25:HT26"/>
    <mergeCell ref="HS25:HS26"/>
    <mergeCell ref="HR25:HR26"/>
    <mergeCell ref="HQ25:HQ26"/>
    <mergeCell ref="FB5:FB6"/>
    <mergeCell ref="FD5:FD6"/>
    <mergeCell ref="HO25:HO26"/>
    <mergeCell ref="HN25:HN26"/>
    <mergeCell ref="HM25:HM26"/>
    <mergeCell ref="HL25:HL26"/>
    <mergeCell ref="HK25:HK26"/>
    <mergeCell ref="HJ25:HJ26"/>
    <mergeCell ref="HI25:HI26"/>
    <mergeCell ref="HH25:HH26"/>
    <mergeCell ref="HG25:HG26"/>
    <mergeCell ref="HF25:HF26"/>
    <mergeCell ref="GZ25:GZ26"/>
    <mergeCell ref="GY25:GY26"/>
    <mergeCell ref="GX25:GX26"/>
    <mergeCell ref="GW25:GW26"/>
    <mergeCell ref="J5:J6"/>
    <mergeCell ref="HF5:HF6"/>
    <mergeCell ref="R5:R6"/>
    <mergeCell ref="CP5:CP6"/>
    <mergeCell ref="EX5:EX6"/>
    <mergeCell ref="EV5:EV6"/>
    <mergeCell ref="GR5:GR6"/>
    <mergeCell ref="GX5:GX6"/>
    <mergeCell ref="GT5:GT6"/>
    <mergeCell ref="GV5:GV6"/>
    <mergeCell ref="GD5:GD6"/>
    <mergeCell ref="HD5:HD6"/>
    <mergeCell ref="P5:P6"/>
    <mergeCell ref="Z5:Z6"/>
    <mergeCell ref="AT5:AT6"/>
    <mergeCell ref="AN5:AN6"/>
    <mergeCell ref="AH5:AH6"/>
    <mergeCell ref="AP5:AP6"/>
    <mergeCell ref="EL5:EL6"/>
    <mergeCell ref="EJ5:EJ6"/>
    <mergeCell ref="AJ5:AJ6"/>
    <mergeCell ref="AZ5:AZ6"/>
    <mergeCell ref="AV5:AV6"/>
    <mergeCell ref="ED5:ED6"/>
    <mergeCell ref="B5:B6"/>
    <mergeCell ref="N5:N6"/>
    <mergeCell ref="BX5:BX6"/>
    <mergeCell ref="BR5:BR6"/>
    <mergeCell ref="CD5:CD6"/>
    <mergeCell ref="CJ5:CJ6"/>
    <mergeCell ref="CH5:CH6"/>
    <mergeCell ref="AL5:AL6"/>
    <mergeCell ref="BN5:BN6"/>
    <mergeCell ref="BP5:BP6"/>
    <mergeCell ref="AB5:AB6"/>
    <mergeCell ref="T5:T6"/>
    <mergeCell ref="V5:V6"/>
    <mergeCell ref="BF5:BF6"/>
    <mergeCell ref="CF5:CF6"/>
    <mergeCell ref="AR5:AR6"/>
    <mergeCell ref="F5:F6"/>
    <mergeCell ref="BT5:BT6"/>
    <mergeCell ref="BB5:BB6"/>
    <mergeCell ref="AF5:AF6"/>
    <mergeCell ref="A1:KR1"/>
    <mergeCell ref="CV5:CV6"/>
    <mergeCell ref="L5:L6"/>
    <mergeCell ref="H5:H6"/>
    <mergeCell ref="BZ5:BZ6"/>
    <mergeCell ref="AB4:BA4"/>
    <mergeCell ref="BJ5:BJ6"/>
    <mergeCell ref="EF5:EF6"/>
    <mergeCell ref="CL5:CL6"/>
    <mergeCell ref="AD5:AD6"/>
    <mergeCell ref="X5:X6"/>
    <mergeCell ref="BB4:CA4"/>
    <mergeCell ref="DN5:DN6"/>
    <mergeCell ref="DJ5:DJ6"/>
    <mergeCell ref="FJ5:FJ6"/>
    <mergeCell ref="CB5:CB6"/>
    <mergeCell ref="A2:KR2"/>
    <mergeCell ref="FL5:FL6"/>
    <mergeCell ref="EB4:FA4"/>
    <mergeCell ref="EZ5:EZ6"/>
    <mergeCell ref="CB4:DA4"/>
    <mergeCell ref="B4:AA4"/>
    <mergeCell ref="CT5:CT6"/>
    <mergeCell ref="D5:D6"/>
    <mergeCell ref="DR5:DR6"/>
    <mergeCell ref="EN5:EN6"/>
    <mergeCell ref="ET5:ET6"/>
    <mergeCell ref="CN5:CN6"/>
    <mergeCell ref="EP5:EP6"/>
    <mergeCell ref="DF5:DF6"/>
    <mergeCell ref="DZ5:DZ6"/>
    <mergeCell ref="DH5:DH6"/>
    <mergeCell ref="DT5:DT6"/>
    <mergeCell ref="DP5:DP6"/>
    <mergeCell ref="DL5:DL6"/>
    <mergeCell ref="DX5:DX6"/>
    <mergeCell ref="EH5:EH6"/>
    <mergeCell ref="CZ5:CZ6"/>
    <mergeCell ref="CR5:CR6"/>
    <mergeCell ref="CX5:CX6"/>
    <mergeCell ref="GV25:GV26"/>
    <mergeCell ref="GU25:GU26"/>
    <mergeCell ref="GT25:GT26"/>
    <mergeCell ref="GS25:GS26"/>
    <mergeCell ref="GR25:GR26"/>
    <mergeCell ref="GQ25:GQ26"/>
    <mergeCell ref="GP25:GP26"/>
    <mergeCell ref="GO25:GO26"/>
    <mergeCell ref="GN25:GN26"/>
    <mergeCell ref="GM25:GM26"/>
    <mergeCell ref="GL25:GL26"/>
    <mergeCell ref="GK25:GK26"/>
    <mergeCell ref="GJ25:GJ26"/>
    <mergeCell ref="GI25:GI26"/>
    <mergeCell ref="GH25:GH26"/>
    <mergeCell ref="GG25:GG26"/>
    <mergeCell ref="GF25:GF26"/>
    <mergeCell ref="GE25:GE26"/>
    <mergeCell ref="GD25:GD26"/>
    <mergeCell ref="GC25:GC26"/>
    <mergeCell ref="GB25:GB26"/>
    <mergeCell ref="GA25:GA26"/>
    <mergeCell ref="FZ25:FZ26"/>
    <mergeCell ref="FY25:FY26"/>
    <mergeCell ref="FX25:FX26"/>
    <mergeCell ref="FW25:FW26"/>
    <mergeCell ref="FV25:FV26"/>
    <mergeCell ref="FU25:FU26"/>
    <mergeCell ref="FT25:FT26"/>
    <mergeCell ref="FS25:FS26"/>
    <mergeCell ref="FR25:FR26"/>
    <mergeCell ref="FQ25:FQ26"/>
    <mergeCell ref="FP25:FP26"/>
    <mergeCell ref="FO25:FO26"/>
    <mergeCell ref="FN25:FN26"/>
    <mergeCell ref="FM25:FM26"/>
    <mergeCell ref="FL25:FL26"/>
    <mergeCell ref="FK25:FK26"/>
    <mergeCell ref="FJ25:FJ26"/>
    <mergeCell ref="FI25:FI26"/>
    <mergeCell ref="FH25:FH26"/>
    <mergeCell ref="FG25:FG26"/>
    <mergeCell ref="FF25:FF26"/>
    <mergeCell ref="FE25:FE26"/>
    <mergeCell ref="FD25:FD26"/>
    <mergeCell ref="FC25:FC26"/>
    <mergeCell ref="FB25:FB26"/>
    <mergeCell ref="FA25:FA26"/>
    <mergeCell ref="EZ25:EZ26"/>
    <mergeCell ref="EY25:EY26"/>
    <mergeCell ref="EX25:EX26"/>
    <mergeCell ref="EW25:EW26"/>
    <mergeCell ref="EV25:EV26"/>
    <mergeCell ref="EU25:EU26"/>
    <mergeCell ref="ET25:ET26"/>
    <mergeCell ref="ES25:ES26"/>
    <mergeCell ref="ER25:ER26"/>
    <mergeCell ref="EQ25:EQ26"/>
    <mergeCell ref="EP25:EP26"/>
    <mergeCell ref="EO25:EO26"/>
    <mergeCell ref="EN25:EN26"/>
    <mergeCell ref="EM25:EM26"/>
    <mergeCell ref="EL25:EL26"/>
    <mergeCell ref="EK25:EK26"/>
    <mergeCell ref="EJ25:EJ26"/>
    <mergeCell ref="EI25:EI26"/>
    <mergeCell ref="EH25:EH26"/>
    <mergeCell ref="EG25:EG26"/>
    <mergeCell ref="EF25:EF26"/>
    <mergeCell ref="EE25:EE26"/>
    <mergeCell ref="ED25:ED26"/>
    <mergeCell ref="EC25:EC26"/>
    <mergeCell ref="DI25:DI26"/>
    <mergeCell ref="EB25:EB26"/>
    <mergeCell ref="EA25:EA26"/>
    <mergeCell ref="DZ25:DZ26"/>
    <mergeCell ref="DY25:DY26"/>
    <mergeCell ref="DX25:DX26"/>
    <mergeCell ref="DW25:DW26"/>
    <mergeCell ref="DV25:DV26"/>
    <mergeCell ref="DU25:DU26"/>
    <mergeCell ref="DT25:DT26"/>
    <mergeCell ref="DS25:DS26"/>
    <mergeCell ref="DR25:DR26"/>
    <mergeCell ref="DQ25:DQ26"/>
    <mergeCell ref="DP25:DP26"/>
    <mergeCell ref="DO25:DO26"/>
    <mergeCell ref="DN25:DN26"/>
    <mergeCell ref="DM25:DM26"/>
    <mergeCell ref="DL25:DL26"/>
    <mergeCell ref="DK25:DK26"/>
    <mergeCell ref="BB25:BB26"/>
    <mergeCell ref="AC25:AC26"/>
    <mergeCell ref="DH25:DH26"/>
    <mergeCell ref="DG25:DG26"/>
    <mergeCell ref="DF25:DF26"/>
    <mergeCell ref="DE25:DE26"/>
    <mergeCell ref="DD25:DD26"/>
    <mergeCell ref="DC25:DC26"/>
    <mergeCell ref="DB25:DB26"/>
    <mergeCell ref="A34:K34"/>
    <mergeCell ref="P25:P26"/>
    <mergeCell ref="O25:O26"/>
    <mergeCell ref="E25:E26"/>
    <mergeCell ref="D25:D26"/>
    <mergeCell ref="C25:C26"/>
    <mergeCell ref="B25:B26"/>
    <mergeCell ref="N25:N26"/>
    <mergeCell ref="M25:M26"/>
    <mergeCell ref="L25:L26"/>
    <mergeCell ref="K25:K26"/>
    <mergeCell ref="J25:J26"/>
    <mergeCell ref="I25:I26"/>
    <mergeCell ref="H25:H26"/>
    <mergeCell ref="G25:G26"/>
    <mergeCell ref="F25:F26"/>
    <mergeCell ref="A33:K33"/>
    <mergeCell ref="A25:A26"/>
    <mergeCell ref="A32:K32"/>
    <mergeCell ref="AW25:AW26"/>
    <mergeCell ref="KB5:KB6"/>
    <mergeCell ref="JT5:JT6"/>
    <mergeCell ref="JV5:JV6"/>
    <mergeCell ref="Z25:Z26"/>
    <mergeCell ref="Y25:Y26"/>
    <mergeCell ref="CP25:CP26"/>
    <mergeCell ref="CO25:CO26"/>
    <mergeCell ref="CN25:CN26"/>
    <mergeCell ref="CM25:CM26"/>
    <mergeCell ref="CL25:CL26"/>
    <mergeCell ref="CK25:CK26"/>
    <mergeCell ref="CJ25:CJ26"/>
    <mergeCell ref="DA25:DA26"/>
    <mergeCell ref="CZ25:CZ26"/>
    <mergeCell ref="CY25:CY26"/>
    <mergeCell ref="CX25:CX26"/>
    <mergeCell ref="CW25:CW26"/>
    <mergeCell ref="CV25:CV26"/>
    <mergeCell ref="BJ25:BJ26"/>
    <mergeCell ref="BI25:BI26"/>
    <mergeCell ref="BZ25:BZ26"/>
    <mergeCell ref="BY25:BY26"/>
    <mergeCell ref="BX25:BX26"/>
    <mergeCell ref="Q25:Q26"/>
    <mergeCell ref="AB25:AB26"/>
    <mergeCell ref="AA25:AA26"/>
    <mergeCell ref="AI25:AI26"/>
    <mergeCell ref="AT25:AT26"/>
    <mergeCell ref="AS25:AS26"/>
    <mergeCell ref="AR25:AR26"/>
    <mergeCell ref="AQ25:AQ26"/>
    <mergeCell ref="AP25:AP26"/>
    <mergeCell ref="AO25:AO26"/>
    <mergeCell ref="AN25:AN26"/>
    <mergeCell ref="AM25:AM26"/>
    <mergeCell ref="AL25:AL26"/>
    <mergeCell ref="AK25:AK26"/>
    <mergeCell ref="AD25:AD26"/>
    <mergeCell ref="X25:X26"/>
    <mergeCell ref="W25:W26"/>
    <mergeCell ref="V25:V26"/>
    <mergeCell ref="U25:U26"/>
    <mergeCell ref="R25:R26"/>
    <mergeCell ref="AG25:AG26"/>
    <mergeCell ref="AE25:AE26"/>
    <mergeCell ref="CF25:CF26"/>
    <mergeCell ref="CE25:CE26"/>
    <mergeCell ref="CD25:CD26"/>
    <mergeCell ref="CC25:CC26"/>
    <mergeCell ref="CU25:CU26"/>
    <mergeCell ref="CT25:CT26"/>
    <mergeCell ref="CS25:CS26"/>
    <mergeCell ref="DJ25:DJ26"/>
    <mergeCell ref="AX25:AX26"/>
    <mergeCell ref="BM25:BM26"/>
    <mergeCell ref="BL25:BL26"/>
    <mergeCell ref="BK25:BK26"/>
    <mergeCell ref="BW25:BW26"/>
    <mergeCell ref="BV25:BV26"/>
    <mergeCell ref="BU25:BU26"/>
    <mergeCell ref="BT25:BT26"/>
    <mergeCell ref="BS25:BS26"/>
    <mergeCell ref="BR25:BR26"/>
    <mergeCell ref="BH25:BH26"/>
    <mergeCell ref="BG25:BG26"/>
    <mergeCell ref="BF25:BF26"/>
    <mergeCell ref="BE25:BE26"/>
    <mergeCell ref="BD25:BD26"/>
    <mergeCell ref="BC25:BC26"/>
    <mergeCell ref="CB25:CB26"/>
    <mergeCell ref="CA25:CA26"/>
    <mergeCell ref="AU25:AU26"/>
    <mergeCell ref="AY25:AY26"/>
    <mergeCell ref="T25:T26"/>
    <mergeCell ref="S25:S26"/>
    <mergeCell ref="AH25:AH26"/>
    <mergeCell ref="AJ25:AJ26"/>
    <mergeCell ref="KL5:KL6"/>
    <mergeCell ref="CR25:CR26"/>
    <mergeCell ref="CQ25:CQ26"/>
    <mergeCell ref="BA25:BA26"/>
    <mergeCell ref="AZ25:AZ26"/>
    <mergeCell ref="AV25:AV26"/>
    <mergeCell ref="KF5:KF6"/>
    <mergeCell ref="KD5:KD6"/>
    <mergeCell ref="AF25:AF26"/>
    <mergeCell ref="BQ25:BQ26"/>
    <mergeCell ref="BP25:BP26"/>
    <mergeCell ref="BO25:BO26"/>
    <mergeCell ref="BN25:BN26"/>
    <mergeCell ref="CI25:CI26"/>
    <mergeCell ref="CH25:CH26"/>
    <mergeCell ref="CG25:CG26"/>
  </mergeCells>
  <phoneticPr fontId="2" type="noConversion"/>
  <pageMargins left="0.59055118110236227" right="0.39370078740157483" top="0.78740157480314965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Внешняя торговля</vt:lpstr>
    </vt:vector>
  </TitlesOfParts>
  <Company>Departamentul Statistica si Sociologie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2014-09-04T08:03:46Z</cp:lastPrinted>
  <dcterms:created xsi:type="dcterms:W3CDTF">2008-02-06T09:04:59Z</dcterms:created>
  <dcterms:modified xsi:type="dcterms:W3CDTF">2022-10-17T06:17:17Z</dcterms:modified>
</cp:coreProperties>
</file>